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5" windowHeight="11025" tabRatio="879" activeTab="1"/>
  </bookViews>
  <sheets>
    <sheet name="DADOS" sheetId="2" r:id="rId1"/>
    <sheet name="GRAF CONTRATOS LEGADOS" sheetId="6" r:id="rId2"/>
    <sheet name="GRAF CONSUMO ACR + PERDAS" sheetId="5" r:id="rId3"/>
    <sheet name="GRAF ACR x LEGADOS " sheetId="4" r:id="rId4"/>
    <sheet name="GRAF CONSUMO ACR" sheetId="3" r:id="rId5"/>
    <sheet name="GRAF CMPOSIÇÃO FINAL" sheetId="8" r:id="rId6"/>
    <sheet name="FAIXAS" sheetId="7" r:id="rId7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/>
  <c r="C96"/>
  <c r="C95" s="1"/>
  <c r="D95" s="1"/>
  <c r="G26"/>
  <c r="H26"/>
  <c r="I26"/>
  <c r="F26"/>
  <c r="K24"/>
  <c r="J24"/>
  <c r="D96" l="1"/>
  <c r="C82"/>
  <c r="D82" s="1"/>
  <c r="C81"/>
  <c r="D81" s="1"/>
  <c r="D72"/>
  <c r="D73"/>
  <c r="D74"/>
  <c r="D75"/>
  <c r="D76"/>
  <c r="D77"/>
  <c r="D78"/>
  <c r="D79"/>
  <c r="D80"/>
  <c r="D71"/>
  <c r="B72"/>
  <c r="B73"/>
  <c r="B74"/>
  <c r="B75"/>
  <c r="B76"/>
  <c r="B77"/>
  <c r="B78"/>
  <c r="B79"/>
  <c r="B80"/>
  <c r="B81"/>
  <c r="B82"/>
  <c r="B71"/>
  <c r="G63" l="1"/>
  <c r="H63"/>
  <c r="I63"/>
  <c r="J63"/>
  <c r="K63"/>
  <c r="L63"/>
  <c r="M63"/>
  <c r="N63"/>
  <c r="O63"/>
  <c r="P63"/>
  <c r="Q63"/>
  <c r="R63"/>
  <c r="S63"/>
  <c r="T63"/>
  <c r="G33"/>
  <c r="H33"/>
  <c r="F33"/>
  <c r="F32"/>
  <c r="G32" s="1"/>
  <c r="H32" s="1"/>
  <c r="I32" s="1"/>
  <c r="F63"/>
  <c r="D51"/>
  <c r="I33" l="1"/>
  <c r="J33"/>
  <c r="K33"/>
  <c r="K32"/>
  <c r="J32"/>
  <c r="E53"/>
  <c r="C47"/>
  <c r="C45"/>
  <c r="C44"/>
  <c r="C36"/>
  <c r="C50" l="1"/>
  <c r="E52"/>
  <c r="D55"/>
  <c r="F53"/>
  <c r="G30"/>
  <c r="H30"/>
  <c r="I30"/>
  <c r="J30"/>
  <c r="K30"/>
  <c r="L30"/>
  <c r="M30"/>
  <c r="N30"/>
  <c r="O30"/>
  <c r="P30"/>
  <c r="Q30"/>
  <c r="R30"/>
  <c r="S30"/>
  <c r="T30"/>
  <c r="F30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F15"/>
  <c r="F21" s="1"/>
  <c r="G15"/>
  <c r="G21" s="1"/>
  <c r="H15"/>
  <c r="H21" s="1"/>
  <c r="I15"/>
  <c r="I21" s="1"/>
  <c r="J15"/>
  <c r="J21" s="1"/>
  <c r="K15"/>
  <c r="K21" s="1"/>
  <c r="L15"/>
  <c r="L21" s="1"/>
  <c r="M15"/>
  <c r="M21" s="1"/>
  <c r="N15"/>
  <c r="N21" s="1"/>
  <c r="O15"/>
  <c r="O21" s="1"/>
  <c r="P15"/>
  <c r="P21" s="1"/>
  <c r="Q15"/>
  <c r="Q21" s="1"/>
  <c r="R15"/>
  <c r="R21" s="1"/>
  <c r="S15"/>
  <c r="S21" s="1"/>
  <c r="T15"/>
  <c r="T21" s="1"/>
  <c r="U15"/>
  <c r="U21" s="1"/>
  <c r="V15"/>
  <c r="V21" s="1"/>
  <c r="W15"/>
  <c r="W21" s="1"/>
  <c r="X15"/>
  <c r="X21" s="1"/>
  <c r="Y15"/>
  <c r="Y21" s="1"/>
  <c r="Z15"/>
  <c r="Z21" s="1"/>
  <c r="AA15"/>
  <c r="AA21" s="1"/>
  <c r="AB15"/>
  <c r="AB21" s="1"/>
  <c r="AC15"/>
  <c r="AC21" s="1"/>
  <c r="AD15"/>
  <c r="AD21" s="1"/>
  <c r="AE15"/>
  <c r="AE21" s="1"/>
  <c r="AF15"/>
  <c r="AF21" s="1"/>
  <c r="AG15"/>
  <c r="AG21" s="1"/>
  <c r="AH15"/>
  <c r="AH21" s="1"/>
  <c r="AI15"/>
  <c r="AI21" s="1"/>
  <c r="AJ15"/>
  <c r="AJ21" s="1"/>
  <c r="AK15"/>
  <c r="AK21" s="1"/>
  <c r="AL15"/>
  <c r="AL21" s="1"/>
  <c r="AM15"/>
  <c r="AM21" s="1"/>
  <c r="C49"/>
  <c r="C51" s="1"/>
  <c r="F52" l="1"/>
  <c r="F87" s="1"/>
  <c r="Q65"/>
  <c r="Q64"/>
  <c r="Q66"/>
  <c r="M64"/>
  <c r="M66"/>
  <c r="M65"/>
  <c r="I65"/>
  <c r="I66"/>
  <c r="I64"/>
  <c r="T64"/>
  <c r="T66"/>
  <c r="T65"/>
  <c r="F65"/>
  <c r="F66"/>
  <c r="R65"/>
  <c r="R64"/>
  <c r="R66"/>
  <c r="N65"/>
  <c r="N66"/>
  <c r="N64"/>
  <c r="J65"/>
  <c r="J64"/>
  <c r="J66"/>
  <c r="S64"/>
  <c r="S66"/>
  <c r="S65"/>
  <c r="O64"/>
  <c r="O66"/>
  <c r="O65"/>
  <c r="K65"/>
  <c r="K64"/>
  <c r="K66"/>
  <c r="G64"/>
  <c r="G66"/>
  <c r="G65"/>
  <c r="P64"/>
  <c r="P66"/>
  <c r="P65"/>
  <c r="L64"/>
  <c r="L66"/>
  <c r="L65"/>
  <c r="H64"/>
  <c r="H66"/>
  <c r="H65"/>
  <c r="F64"/>
  <c r="D41"/>
  <c r="E41" s="1"/>
  <c r="F41" s="1"/>
  <c r="F76" s="1"/>
  <c r="D43"/>
  <c r="E43" s="1"/>
  <c r="F43" s="1"/>
  <c r="F78" s="1"/>
  <c r="D36"/>
  <c r="D45"/>
  <c r="E45" s="1"/>
  <c r="F45" s="1"/>
  <c r="F80" s="1"/>
  <c r="D39"/>
  <c r="E39" s="1"/>
  <c r="F39" s="1"/>
  <c r="F74" s="1"/>
  <c r="D38"/>
  <c r="E38" s="1"/>
  <c r="F38" s="1"/>
  <c r="D47"/>
  <c r="E47" s="1"/>
  <c r="F47" s="1"/>
  <c r="F82" s="1"/>
  <c r="D44"/>
  <c r="D40"/>
  <c r="E40" s="1"/>
  <c r="F40" s="1"/>
  <c r="F75" s="1"/>
  <c r="D46"/>
  <c r="E46" s="1"/>
  <c r="F46" s="1"/>
  <c r="F81" s="1"/>
  <c r="D37"/>
  <c r="E37" s="1"/>
  <c r="F37" s="1"/>
  <c r="F72" s="1"/>
  <c r="D42"/>
  <c r="E42" s="1"/>
  <c r="F42" s="1"/>
  <c r="F77" s="1"/>
  <c r="G53"/>
  <c r="G52" l="1"/>
  <c r="G87" s="1"/>
  <c r="G38"/>
  <c r="G73" s="1"/>
  <c r="F73"/>
  <c r="G47"/>
  <c r="G82" s="1"/>
  <c r="G45"/>
  <c r="G80" s="1"/>
  <c r="G39"/>
  <c r="G74" s="1"/>
  <c r="G46"/>
  <c r="G81" s="1"/>
  <c r="E36"/>
  <c r="D49"/>
  <c r="E44"/>
  <c r="D50"/>
  <c r="G40"/>
  <c r="G75" s="1"/>
  <c r="G43"/>
  <c r="G78" s="1"/>
  <c r="G41"/>
  <c r="G76" s="1"/>
  <c r="G42"/>
  <c r="G77" s="1"/>
  <c r="G37"/>
  <c r="G72" s="1"/>
  <c r="H53"/>
  <c r="H52" s="1"/>
  <c r="H38" l="1"/>
  <c r="H73" s="1"/>
  <c r="E49"/>
  <c r="F36"/>
  <c r="F71" s="1"/>
  <c r="F84" s="1"/>
  <c r="E50"/>
  <c r="F44"/>
  <c r="F79" s="1"/>
  <c r="F85" s="1"/>
  <c r="H37"/>
  <c r="H72" s="1"/>
  <c r="H42"/>
  <c r="H77" s="1"/>
  <c r="H40"/>
  <c r="H75" s="1"/>
  <c r="H39"/>
  <c r="H74" s="1"/>
  <c r="I53"/>
  <c r="H87"/>
  <c r="H45"/>
  <c r="H80" s="1"/>
  <c r="H46"/>
  <c r="H81" s="1"/>
  <c r="H41"/>
  <c r="H76" s="1"/>
  <c r="H47"/>
  <c r="H82" s="1"/>
  <c r="H43"/>
  <c r="H78" s="1"/>
  <c r="I52" l="1"/>
  <c r="I39"/>
  <c r="I74" s="1"/>
  <c r="I42"/>
  <c r="I77" s="1"/>
  <c r="I46"/>
  <c r="I81" s="1"/>
  <c r="F50"/>
  <c r="G44"/>
  <c r="G79" s="1"/>
  <c r="G85" s="1"/>
  <c r="G36"/>
  <c r="G71" s="1"/>
  <c r="G84" s="1"/>
  <c r="F49"/>
  <c r="I37"/>
  <c r="I72" s="1"/>
  <c r="I45"/>
  <c r="I80" s="1"/>
  <c r="I43"/>
  <c r="I78" s="1"/>
  <c r="I38"/>
  <c r="I73" s="1"/>
  <c r="I47"/>
  <c r="I82" s="1"/>
  <c r="J53"/>
  <c r="I87"/>
  <c r="I41"/>
  <c r="I40"/>
  <c r="I75" s="1"/>
  <c r="F88" l="1"/>
  <c r="C94" s="1"/>
  <c r="J52"/>
  <c r="J41"/>
  <c r="J76" s="1"/>
  <c r="I76"/>
  <c r="H36"/>
  <c r="H71" s="1"/>
  <c r="H84" s="1"/>
  <c r="G49"/>
  <c r="J46"/>
  <c r="J81" s="1"/>
  <c r="H44"/>
  <c r="H79" s="1"/>
  <c r="H85" s="1"/>
  <c r="G50"/>
  <c r="J37"/>
  <c r="J72" s="1"/>
  <c r="J38"/>
  <c r="J73" s="1"/>
  <c r="J43"/>
  <c r="J78" s="1"/>
  <c r="J47"/>
  <c r="J82" s="1"/>
  <c r="J40"/>
  <c r="J75" s="1"/>
  <c r="J45"/>
  <c r="J80" s="1"/>
  <c r="J42"/>
  <c r="J77" s="1"/>
  <c r="K53"/>
  <c r="K52" s="1"/>
  <c r="J87"/>
  <c r="J39"/>
  <c r="J74" s="1"/>
  <c r="D94" l="1"/>
  <c r="C93"/>
  <c r="D93" s="1"/>
  <c r="G88"/>
  <c r="K40"/>
  <c r="K75" s="1"/>
  <c r="H50"/>
  <c r="I44"/>
  <c r="I79" s="1"/>
  <c r="I85" s="1"/>
  <c r="H49"/>
  <c r="I36"/>
  <c r="I71" s="1"/>
  <c r="I84" s="1"/>
  <c r="K41"/>
  <c r="K76" s="1"/>
  <c r="K39"/>
  <c r="K74" s="1"/>
  <c r="K38"/>
  <c r="K73" s="1"/>
  <c r="K37"/>
  <c r="K72" s="1"/>
  <c r="K47"/>
  <c r="K82" s="1"/>
  <c r="K43"/>
  <c r="K78" s="1"/>
  <c r="K45"/>
  <c r="K80" s="1"/>
  <c r="L53"/>
  <c r="L52" s="1"/>
  <c r="K87"/>
  <c r="K42"/>
  <c r="K46"/>
  <c r="K81" s="1"/>
  <c r="H88" l="1"/>
  <c r="L42"/>
  <c r="L77" s="1"/>
  <c r="K77"/>
  <c r="L38"/>
  <c r="L73" s="1"/>
  <c r="L41"/>
  <c r="L76" s="1"/>
  <c r="L43"/>
  <c r="L78" s="1"/>
  <c r="J44"/>
  <c r="J79" s="1"/>
  <c r="J85" s="1"/>
  <c r="I50"/>
  <c r="I49"/>
  <c r="J36"/>
  <c r="J71" s="1"/>
  <c r="J84" s="1"/>
  <c r="L46"/>
  <c r="L81" s="1"/>
  <c r="L47"/>
  <c r="L82" s="1"/>
  <c r="L45"/>
  <c r="L80" s="1"/>
  <c r="L39"/>
  <c r="L74" s="1"/>
  <c r="L40"/>
  <c r="L75" s="1"/>
  <c r="M53"/>
  <c r="M52" s="1"/>
  <c r="L87"/>
  <c r="L37"/>
  <c r="L72" s="1"/>
  <c r="I88" l="1"/>
  <c r="K36"/>
  <c r="K71" s="1"/>
  <c r="K84" s="1"/>
  <c r="J49"/>
  <c r="M46"/>
  <c r="M81" s="1"/>
  <c r="K44"/>
  <c r="K79" s="1"/>
  <c r="K85" s="1"/>
  <c r="J50"/>
  <c r="M47"/>
  <c r="M82" s="1"/>
  <c r="M40"/>
  <c r="M75" s="1"/>
  <c r="M38"/>
  <c r="M73" s="1"/>
  <c r="M41"/>
  <c r="M76" s="1"/>
  <c r="M43"/>
  <c r="M78" s="1"/>
  <c r="M37"/>
  <c r="M72" s="1"/>
  <c r="N53"/>
  <c r="M87"/>
  <c r="M45"/>
  <c r="M80" s="1"/>
  <c r="M42"/>
  <c r="M77" s="1"/>
  <c r="M39"/>
  <c r="M74" s="1"/>
  <c r="J88" l="1"/>
  <c r="N46"/>
  <c r="N81" s="1"/>
  <c r="N52"/>
  <c r="N87" s="1"/>
  <c r="L36"/>
  <c r="L71" s="1"/>
  <c r="L84" s="1"/>
  <c r="K49"/>
  <c r="L44"/>
  <c r="L79" s="1"/>
  <c r="L85" s="1"/>
  <c r="K50"/>
  <c r="N37"/>
  <c r="N43"/>
  <c r="N78" s="1"/>
  <c r="N38"/>
  <c r="N73" s="1"/>
  <c r="N40"/>
  <c r="N75" s="1"/>
  <c r="O53"/>
  <c r="N41"/>
  <c r="N39"/>
  <c r="N42"/>
  <c r="N45"/>
  <c r="N80" s="1"/>
  <c r="N47"/>
  <c r="N82" s="1"/>
  <c r="K88" l="1"/>
  <c r="O46"/>
  <c r="O81" s="1"/>
  <c r="O52"/>
  <c r="O87" s="1"/>
  <c r="O39"/>
  <c r="O74" s="1"/>
  <c r="N74"/>
  <c r="O42"/>
  <c r="O77" s="1"/>
  <c r="N77"/>
  <c r="O37"/>
  <c r="O72" s="1"/>
  <c r="N72"/>
  <c r="O41"/>
  <c r="O76" s="1"/>
  <c r="N76"/>
  <c r="M44"/>
  <c r="M79" s="1"/>
  <c r="M85" s="1"/>
  <c r="L50"/>
  <c r="L49"/>
  <c r="M36"/>
  <c r="M71" s="1"/>
  <c r="M84" s="1"/>
  <c r="P53"/>
  <c r="P52" s="1"/>
  <c r="O40"/>
  <c r="O75" s="1"/>
  <c r="O47"/>
  <c r="O82" s="1"/>
  <c r="O38"/>
  <c r="O73" s="1"/>
  <c r="O45"/>
  <c r="O80" s="1"/>
  <c r="O43"/>
  <c r="O78" s="1"/>
  <c r="P41" l="1"/>
  <c r="P76" s="1"/>
  <c r="L88"/>
  <c r="N36"/>
  <c r="N71" s="1"/>
  <c r="N84" s="1"/>
  <c r="M49"/>
  <c r="M50"/>
  <c r="N44"/>
  <c r="N79" s="1"/>
  <c r="N85" s="1"/>
  <c r="P43"/>
  <c r="P78" s="1"/>
  <c r="P46"/>
  <c r="P81" s="1"/>
  <c r="P39"/>
  <c r="P74" s="1"/>
  <c r="P38"/>
  <c r="P73" s="1"/>
  <c r="P47"/>
  <c r="P82" s="1"/>
  <c r="P40"/>
  <c r="P75" s="1"/>
  <c r="P42"/>
  <c r="P77" s="1"/>
  <c r="Q53"/>
  <c r="Q52" s="1"/>
  <c r="P87"/>
  <c r="P45"/>
  <c r="P80" s="1"/>
  <c r="P37"/>
  <c r="P72" s="1"/>
  <c r="M88" l="1"/>
  <c r="Q38"/>
  <c r="Q73" s="1"/>
  <c r="N50"/>
  <c r="O44"/>
  <c r="O79" s="1"/>
  <c r="O85" s="1"/>
  <c r="O36"/>
  <c r="O71" s="1"/>
  <c r="O84" s="1"/>
  <c r="N49"/>
  <c r="Q37"/>
  <c r="Q72" s="1"/>
  <c r="Q39"/>
  <c r="Q74" s="1"/>
  <c r="Q43"/>
  <c r="Q78" s="1"/>
  <c r="Q47"/>
  <c r="Q82" s="1"/>
  <c r="Q46"/>
  <c r="Q81" s="1"/>
  <c r="Q42"/>
  <c r="Q77" s="1"/>
  <c r="Q40"/>
  <c r="Q75" s="1"/>
  <c r="Q45"/>
  <c r="Q80" s="1"/>
  <c r="R53"/>
  <c r="Q87"/>
  <c r="Q41"/>
  <c r="Q76" s="1"/>
  <c r="R37" l="1"/>
  <c r="R72" s="1"/>
  <c r="R52"/>
  <c r="N88"/>
  <c r="O49"/>
  <c r="P36"/>
  <c r="P71" s="1"/>
  <c r="P84" s="1"/>
  <c r="P44"/>
  <c r="P79" s="1"/>
  <c r="P85" s="1"/>
  <c r="O50"/>
  <c r="R45"/>
  <c r="R80" s="1"/>
  <c r="R38"/>
  <c r="R73" s="1"/>
  <c r="R40"/>
  <c r="R75" s="1"/>
  <c r="R42"/>
  <c r="R77" s="1"/>
  <c r="R46"/>
  <c r="R81" s="1"/>
  <c r="R41"/>
  <c r="R76" s="1"/>
  <c r="R47"/>
  <c r="R82" s="1"/>
  <c r="R43"/>
  <c r="R78" s="1"/>
  <c r="S53"/>
  <c r="R87"/>
  <c r="R39"/>
  <c r="R74" s="1"/>
  <c r="S45" l="1"/>
  <c r="S80" s="1"/>
  <c r="S52"/>
  <c r="S87" s="1"/>
  <c r="O88"/>
  <c r="P50"/>
  <c r="Q44"/>
  <c r="Q79" s="1"/>
  <c r="Q85" s="1"/>
  <c r="P49"/>
  <c r="Q36"/>
  <c r="Q71" s="1"/>
  <c r="Q84" s="1"/>
  <c r="S38"/>
  <c r="S73" s="1"/>
  <c r="S37"/>
  <c r="S72" s="1"/>
  <c r="S46"/>
  <c r="S81" s="1"/>
  <c r="S42"/>
  <c r="S77" s="1"/>
  <c r="T53"/>
  <c r="S41"/>
  <c r="S76" s="1"/>
  <c r="S43"/>
  <c r="S78" s="1"/>
  <c r="S39"/>
  <c r="S74" s="1"/>
  <c r="S47"/>
  <c r="S82" s="1"/>
  <c r="S40"/>
  <c r="S75" s="1"/>
  <c r="T52" l="1"/>
  <c r="T87" s="1"/>
  <c r="P88"/>
  <c r="T41"/>
  <c r="T76" s="1"/>
  <c r="Q49"/>
  <c r="R36"/>
  <c r="R71" s="1"/>
  <c r="R84" s="1"/>
  <c r="R44"/>
  <c r="R79" s="1"/>
  <c r="R85" s="1"/>
  <c r="Q50"/>
  <c r="T42"/>
  <c r="T77" s="1"/>
  <c r="T40"/>
  <c r="T75" s="1"/>
  <c r="T46"/>
  <c r="T81" s="1"/>
  <c r="T47"/>
  <c r="T82" s="1"/>
  <c r="T37"/>
  <c r="T72" s="1"/>
  <c r="T38"/>
  <c r="T73" s="1"/>
  <c r="T39"/>
  <c r="T74" s="1"/>
  <c r="T43"/>
  <c r="T78" s="1"/>
  <c r="T45"/>
  <c r="T80" s="1"/>
  <c r="Q88" l="1"/>
  <c r="S44"/>
  <c r="S79" s="1"/>
  <c r="S85" s="1"/>
  <c r="R50"/>
  <c r="S36"/>
  <c r="S71" s="1"/>
  <c r="S84" s="1"/>
  <c r="R49"/>
  <c r="R88" s="1"/>
  <c r="S50" l="1"/>
  <c r="T44"/>
  <c r="T36"/>
  <c r="S49"/>
  <c r="S88" l="1"/>
  <c r="T50"/>
  <c r="T79"/>
  <c r="T85" s="1"/>
  <c r="T49"/>
  <c r="T71"/>
  <c r="T84" s="1"/>
  <c r="T88" l="1"/>
</calcChain>
</file>

<file path=xl/sharedStrings.xml><?xml version="1.0" encoding="utf-8"?>
<sst xmlns="http://schemas.openxmlformats.org/spreadsheetml/2006/main" count="129" uniqueCount="105">
  <si>
    <t>Biomassa (Biomass)</t>
  </si>
  <si>
    <t>Carvão (Coal)</t>
  </si>
  <si>
    <t>Eólica (Wind)</t>
  </si>
  <si>
    <t>Gás de Processo (Process Gas)</t>
  </si>
  <si>
    <t>Gás Natural (Natural Gas)</t>
  </si>
  <si>
    <t>Gás Natural Liquefeito - GNL (LNG)</t>
  </si>
  <si>
    <t>Hidrelétrica - PCH (Small Hydro)</t>
  </si>
  <si>
    <t>Hidrelétrica - UHE (Hydro)</t>
  </si>
  <si>
    <t>Hidrelétrica (CGH)</t>
  </si>
  <si>
    <t>Óleo Combustível (Fuel Oil)</t>
  </si>
  <si>
    <t>Óleo Diesel (Diesel)</t>
  </si>
  <si>
    <t>Solar Fotovoltaica (Solar PV)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</si>
  <si>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</si>
  <si>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</si>
  <si>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</si>
  <si>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</si>
  <si>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</si>
  <si>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</si>
  <si>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</si>
  <si>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</si>
  <si>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</si>
  <si>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</si>
  <si>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</si>
  <si>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</si>
  <si>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</si>
  <si>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</si>
  <si>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</si>
  <si>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</si>
  <si>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</si>
  <si>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</si>
  <si>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</si>
  <si>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</si>
  <si>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</si>
  <si>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</si>
  <si>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</si>
  <si>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</si>
  <si>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</si>
  <si>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</si>
  <si>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</si>
  <si>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</si>
  <si>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</si>
  <si>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</si>
  <si>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</si>
  <si>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</si>
  <si>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</si>
  <si>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</si>
  <si>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</si>
  <si>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TOTAL CONTRATADO LEILÕES</t>
  </si>
  <si>
    <t>CBRs</t>
  </si>
  <si>
    <t>Itaipu</t>
  </si>
  <si>
    <t>Cotas</t>
  </si>
  <si>
    <t>Cotas Eletrobras</t>
  </si>
  <si>
    <t>Térmicas a Óleo</t>
  </si>
  <si>
    <t>TOTAL</t>
  </si>
  <si>
    <t>Legados Slim</t>
  </si>
  <si>
    <t>AT</t>
  </si>
  <si>
    <t>BT</t>
  </si>
  <si>
    <t>Grupo A</t>
  </si>
  <si>
    <t>Grupo B</t>
  </si>
  <si>
    <t>Crescimento de Mercado</t>
  </si>
  <si>
    <t>Carga ACR</t>
  </si>
  <si>
    <t>TOTAL CONSUMO</t>
  </si>
  <si>
    <t>MW médios 2019 amostra</t>
  </si>
  <si>
    <t>MW médios 2019 SIN</t>
  </si>
  <si>
    <t>Carga SIN</t>
  </si>
  <si>
    <t>AT ≥ 1.501 kW </t>
  </si>
  <si>
    <t>AT 1.001 a 1.500 kW </t>
  </si>
  <si>
    <t>AT 501 a 1.000 kW </t>
  </si>
  <si>
    <t>AT 301 a 500 kW </t>
  </si>
  <si>
    <t>AT 201 a 300 kW </t>
  </si>
  <si>
    <t>AT 101 a 200 kW </t>
  </si>
  <si>
    <t>AT 51 a 100 kW </t>
  </si>
  <si>
    <t>AT ≤ 50 kW </t>
  </si>
  <si>
    <t>BT ≥ 1.001 kWh</t>
  </si>
  <si>
    <t>Legados</t>
  </si>
  <si>
    <t>Legados + Térmicas a Óleo</t>
  </si>
  <si>
    <t>(i) Legados com Itaipu e Eletrobras</t>
  </si>
  <si>
    <t>(iv) Legados sem Itaipu e descotização Eletrobras</t>
  </si>
  <si>
    <t>Descotização Eletrobras</t>
  </si>
  <si>
    <t>(ii) Legados com Itaipu e descotização Eletrobras (2025 a 2027)</t>
  </si>
  <si>
    <t>Itaipu ACL</t>
  </si>
  <si>
    <t>Mercado Residual</t>
  </si>
  <si>
    <t>Migração</t>
  </si>
  <si>
    <t>Perdas</t>
  </si>
  <si>
    <t>Legados Thymos NOVO</t>
  </si>
  <si>
    <t>Cotas Thymos</t>
  </si>
  <si>
    <t>Cotas TOTAIS</t>
  </si>
  <si>
    <t>B1 501 a 1.000 kWh + (B2 + B3 ≤ 1.000)</t>
  </si>
  <si>
    <t>B1 221 a 500 kWh</t>
  </si>
  <si>
    <t>B1 ≤ 220 kWh</t>
  </si>
  <si>
    <t>(iii) Legados com Eletrobras e descontratação Itaipu (2024 a 2027)</t>
  </si>
  <si>
    <t>Faixa</t>
  </si>
  <si>
    <t>Grupo</t>
  </si>
  <si>
    <t>ACL</t>
  </si>
  <si>
    <t>ACR</t>
  </si>
  <si>
    <t>Perdas (D)</t>
  </si>
  <si>
    <t>Legados Thymos TOTAL com COTAS</t>
  </si>
  <si>
    <t>Contratos Legados (Thymos)</t>
  </si>
  <si>
    <t>PERDAS (Aneel)</t>
  </si>
  <si>
    <t>FAIXA</t>
  </si>
  <si>
    <t>Consumo ACR</t>
  </si>
  <si>
    <t>GRUPO</t>
  </si>
  <si>
    <t>Composição Final</t>
  </si>
  <si>
    <t>MWmed</t>
  </si>
  <si>
    <t>Participação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</si>
</sst>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5">
    <font>
      <sz val="11"/>
      <name val="Calibri"/>
    </font>
    <font>
      <sz val="9"/>
      <color rgb="FF898989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9"/>
      <color rgb="FF898989"/>
      <name val="Arial"/>
      <family val="2"/>
    </font>
    <font>
      <b/>
      <sz val="8"/>
      <color theme="1"/>
      <name val="Arial"/>
      <family val="2"/>
    </font>
    <font>
      <b/>
      <sz val="8"/>
      <color theme="1"/>
      <name val="Helvetica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Helvetica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3" fontId="2" fillId="0" borderId="5" xfId="0" applyNumberFormat="1" applyFont="1" applyBorder="1" applyAlignment="1">
      <alignment vertical="center"/>
    </xf>
    <xf numFmtId="0" fontId="0" fillId="2" borderId="0" xfId="0" applyFill="1"/>
    <xf numFmtId="3" fontId="2" fillId="2" borderId="5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/>
    <xf numFmtId="3" fontId="0" fillId="2" borderId="0" xfId="0" applyNumberFormat="1" applyFill="1"/>
    <xf numFmtId="0" fontId="0" fillId="4" borderId="0" xfId="0" applyFill="1"/>
    <xf numFmtId="0" fontId="6" fillId="0" borderId="0" xfId="0" applyFont="1"/>
    <xf numFmtId="0" fontId="7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6" fillId="4" borderId="0" xfId="0" applyFont="1" applyFill="1"/>
    <xf numFmtId="0" fontId="7" fillId="5" borderId="5" xfId="0" applyFont="1" applyFill="1" applyBorder="1" applyAlignment="1">
      <alignment horizontal="left" vertical="top"/>
    </xf>
    <xf numFmtId="3" fontId="0" fillId="5" borderId="0" xfId="0" applyNumberFormat="1" applyFill="1"/>
    <xf numFmtId="0" fontId="0" fillId="5" borderId="0" xfId="0" applyFill="1"/>
    <xf numFmtId="0" fontId="6" fillId="5" borderId="0" xfId="0" applyFont="1" applyFill="1"/>
    <xf numFmtId="0" fontId="6" fillId="6" borderId="0" xfId="0" applyFont="1" applyFill="1"/>
    <xf numFmtId="3" fontId="6" fillId="6" borderId="0" xfId="0" applyNumberFormat="1" applyFont="1" applyFill="1"/>
    <xf numFmtId="164" fontId="6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0" fontId="4" fillId="3" borderId="5" xfId="0" applyFont="1" applyFill="1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9" fontId="0" fillId="0" borderId="0" xfId="2" applyFont="1"/>
    <xf numFmtId="3" fontId="6" fillId="0" borderId="0" xfId="0" applyNumberFormat="1" applyFont="1"/>
    <xf numFmtId="165" fontId="0" fillId="0" borderId="0" xfId="2" applyNumberFormat="1" applyFont="1"/>
    <xf numFmtId="164" fontId="0" fillId="5" borderId="0" xfId="0" applyNumberFormat="1" applyFill="1"/>
    <xf numFmtId="164" fontId="0" fillId="8" borderId="0" xfId="0" applyNumberFormat="1" applyFill="1"/>
    <xf numFmtId="9" fontId="0" fillId="5" borderId="0" xfId="0" applyNumberFormat="1" applyFill="1" applyAlignment="1">
      <alignment horizontal="center"/>
    </xf>
    <xf numFmtId="3" fontId="8" fillId="10" borderId="7" xfId="0" applyNumberFormat="1" applyFont="1" applyFill="1" applyBorder="1"/>
    <xf numFmtId="3" fontId="8" fillId="10" borderId="9" xfId="0" applyNumberFormat="1" applyFont="1" applyFill="1" applyBorder="1"/>
    <xf numFmtId="3" fontId="8" fillId="10" borderId="11" xfId="0" applyNumberFormat="1" applyFont="1" applyFill="1" applyBorder="1"/>
    <xf numFmtId="3" fontId="9" fillId="12" borderId="9" xfId="0" applyNumberFormat="1" applyFont="1" applyFill="1" applyBorder="1"/>
    <xf numFmtId="3" fontId="8" fillId="12" borderId="11" xfId="0" applyNumberFormat="1" applyFont="1" applyFill="1" applyBorder="1"/>
    <xf numFmtId="3" fontId="8" fillId="11" borderId="7" xfId="0" applyNumberFormat="1" applyFont="1" applyFill="1" applyBorder="1"/>
    <xf numFmtId="3" fontId="13" fillId="11" borderId="12" xfId="0" applyNumberFormat="1" applyFont="1" applyFill="1" applyBorder="1"/>
    <xf numFmtId="3" fontId="14" fillId="12" borderId="12" xfId="0" applyNumberFormat="1" applyFont="1" applyFill="1" applyBorder="1"/>
    <xf numFmtId="3" fontId="13" fillId="12" borderId="12" xfId="0" applyNumberFormat="1" applyFont="1" applyFill="1" applyBorder="1"/>
    <xf numFmtId="3" fontId="13" fillId="10" borderId="12" xfId="0" applyNumberFormat="1" applyFont="1" applyFill="1" applyBorder="1"/>
    <xf numFmtId="0" fontId="11" fillId="13" borderId="12" xfId="0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center" vertical="distributed"/>
    </xf>
    <xf numFmtId="0" fontId="0" fillId="0" borderId="0" xfId="0" applyFill="1"/>
    <xf numFmtId="164" fontId="6" fillId="0" borderId="0" xfId="1" applyNumberFormat="1" applyFont="1" applyFill="1"/>
    <xf numFmtId="164" fontId="0" fillId="0" borderId="0" xfId="0" applyNumberFormat="1" applyFill="1"/>
    <xf numFmtId="3" fontId="6" fillId="0" borderId="12" xfId="0" applyNumberFormat="1" applyFont="1" applyBorder="1"/>
    <xf numFmtId="9" fontId="0" fillId="0" borderId="12" xfId="0" applyNumberForma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64" fontId="0" fillId="14" borderId="0" xfId="1" applyNumberFormat="1" applyFont="1" applyFill="1"/>
    <xf numFmtId="164" fontId="6" fillId="14" borderId="0" xfId="1" applyNumberFormat="1" applyFont="1" applyFill="1"/>
    <xf numFmtId="0" fontId="6" fillId="14" borderId="12" xfId="0" applyFont="1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0" xfId="0" applyFill="1"/>
    <xf numFmtId="164" fontId="0" fillId="0" borderId="12" xfId="0" applyNumberFormat="1" applyBorder="1"/>
    <xf numFmtId="9" fontId="0" fillId="0" borderId="12" xfId="2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64" fontId="0" fillId="15" borderId="12" xfId="0" applyNumberFormat="1" applyFill="1" applyBorder="1"/>
    <xf numFmtId="9" fontId="0" fillId="15" borderId="12" xfId="2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 b="1"/>
              <a:t>Contratos Legados</a:t>
            </a:r>
          </a:p>
        </c:rich>
      </c:tx>
      <c:layout>
        <c:manualLayout>
          <c:xMode val="edge"/>
          <c:yMode val="edge"/>
          <c:x val="0.41594892308929526"/>
          <c:y val="1.901298804992949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2929135770894526E-2"/>
          <c:y val="1.401155750139728E-2"/>
          <c:w val="0.8609809948644126"/>
          <c:h val="0.72672081680994416"/>
        </c:manualLayout>
      </c:layout>
      <c:lineChart>
        <c:grouping val="standard"/>
        <c:ser>
          <c:idx val="12"/>
          <c:order val="0"/>
          <c:tx>
            <c:strRef>
              <c:f>DADOS!$B$63</c:f>
              <c:strCache>
                <c:ptCount val="1"/>
                <c:pt idx="0">
                  <c:v>(i) Legados com Itaipu e Eletrobras</c:v>
                </c:pt>
              </c:strCache>
            </c:strRef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DADOS!$F$63:$T$63</c:f>
              <c:numCache>
                <c:formatCode>_-* #,##0_-;\-* #,##0_-;_-* "-"??_-;_-@_-</c:formatCode>
                <c:ptCount val="15"/>
                <c:pt idx="0">
                  <c:v>49600</c:v>
                </c:pt>
                <c:pt idx="1">
                  <c:v>49000</c:v>
                </c:pt>
                <c:pt idx="2">
                  <c:v>48200</c:v>
                </c:pt>
                <c:pt idx="3">
                  <c:v>44700</c:v>
                </c:pt>
                <c:pt idx="4">
                  <c:v>43800</c:v>
                </c:pt>
                <c:pt idx="5">
                  <c:v>42900</c:v>
                </c:pt>
                <c:pt idx="6">
                  <c:v>42900</c:v>
                </c:pt>
                <c:pt idx="7">
                  <c:v>41600</c:v>
                </c:pt>
                <c:pt idx="8">
                  <c:v>41100</c:v>
                </c:pt>
                <c:pt idx="9">
                  <c:v>40700</c:v>
                </c:pt>
                <c:pt idx="10">
                  <c:v>40500</c:v>
                </c:pt>
                <c:pt idx="11">
                  <c:v>40200</c:v>
                </c:pt>
                <c:pt idx="12">
                  <c:v>40200</c:v>
                </c:pt>
                <c:pt idx="13">
                  <c:v>39000</c:v>
                </c:pt>
                <c:pt idx="14">
                  <c:v>37900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206-4289-8EB1-6F891B410557}"/>
            </c:ext>
          </c:extLst>
        </c:ser>
        <c:ser>
          <c:idx val="13"/>
          <c:order val="1"/>
          <c:tx>
            <c:strRef>
              <c:f>DADOS!$B$64</c:f>
              <c:strCache>
                <c:ptCount val="1"/>
                <c:pt idx="0">
                  <c:v>(ii) Legados com Itaipu e descotização Eletrobras (2025 a 2027)</c:v>
                </c:pt>
              </c:strCache>
            </c:strRef>
          </c:tx>
          <c:spPr>
            <a:ln w="508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DADOS!$F$64:$T$64</c:f>
              <c:numCache>
                <c:formatCode>_-* #,##0_-;\-* #,##0_-;_-* "-"??_-;_-@_-</c:formatCode>
                <c:ptCount val="15"/>
                <c:pt idx="0">
                  <c:v>49600</c:v>
                </c:pt>
                <c:pt idx="1">
                  <c:v>49000</c:v>
                </c:pt>
                <c:pt idx="2">
                  <c:v>48200</c:v>
                </c:pt>
                <c:pt idx="3">
                  <c:v>44700</c:v>
                </c:pt>
                <c:pt idx="4">
                  <c:v>41603.666666666664</c:v>
                </c:pt>
                <c:pt idx="5">
                  <c:v>38507.333333333336</c:v>
                </c:pt>
                <c:pt idx="6">
                  <c:v>36311</c:v>
                </c:pt>
                <c:pt idx="7">
                  <c:v>35011</c:v>
                </c:pt>
                <c:pt idx="8">
                  <c:v>34511</c:v>
                </c:pt>
                <c:pt idx="9">
                  <c:v>34111</c:v>
                </c:pt>
                <c:pt idx="10">
                  <c:v>33911</c:v>
                </c:pt>
                <c:pt idx="11">
                  <c:v>33611</c:v>
                </c:pt>
                <c:pt idx="12">
                  <c:v>33611</c:v>
                </c:pt>
                <c:pt idx="13">
                  <c:v>32411</c:v>
                </c:pt>
                <c:pt idx="14">
                  <c:v>31311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206-4289-8EB1-6F891B410557}"/>
            </c:ext>
          </c:extLst>
        </c:ser>
        <c:ser>
          <c:idx val="15"/>
          <c:order val="2"/>
          <c:tx>
            <c:strRef>
              <c:f>DADOS!$B$65</c:f>
              <c:strCache>
                <c:ptCount val="1"/>
                <c:pt idx="0">
                  <c:v>(iii) Legados com Eletrobras e descontratação Itaipu (2024 a 2027)</c:v>
                </c:pt>
              </c:strCache>
            </c:strRef>
          </c:tx>
          <c:spPr>
            <a:ln w="508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DADOS!$F$65:$T$65</c:f>
              <c:numCache>
                <c:formatCode>_-* #,##0_-;\-* #,##0_-;_-* "-"??_-;_-@_-</c:formatCode>
                <c:ptCount val="15"/>
                <c:pt idx="0">
                  <c:v>49600</c:v>
                </c:pt>
                <c:pt idx="1">
                  <c:v>49000</c:v>
                </c:pt>
                <c:pt idx="2">
                  <c:v>48200</c:v>
                </c:pt>
                <c:pt idx="3">
                  <c:v>43090.5</c:v>
                </c:pt>
                <c:pt idx="4">
                  <c:v>40581</c:v>
                </c:pt>
                <c:pt idx="5">
                  <c:v>38071.5</c:v>
                </c:pt>
                <c:pt idx="6">
                  <c:v>36462</c:v>
                </c:pt>
                <c:pt idx="7">
                  <c:v>35162</c:v>
                </c:pt>
                <c:pt idx="8">
                  <c:v>34662</c:v>
                </c:pt>
                <c:pt idx="9">
                  <c:v>34262</c:v>
                </c:pt>
                <c:pt idx="10">
                  <c:v>34062</c:v>
                </c:pt>
                <c:pt idx="11">
                  <c:v>33762</c:v>
                </c:pt>
                <c:pt idx="12">
                  <c:v>33762</c:v>
                </c:pt>
                <c:pt idx="13">
                  <c:v>32562</c:v>
                </c:pt>
                <c:pt idx="14">
                  <c:v>31462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206-4289-8EB1-6F891B410557}"/>
            </c:ext>
          </c:extLst>
        </c:ser>
        <c:ser>
          <c:idx val="16"/>
          <c:order val="3"/>
          <c:tx>
            <c:strRef>
              <c:f>DADOS!$B$66</c:f>
              <c:strCache>
                <c:ptCount val="1"/>
                <c:pt idx="0">
                  <c:v>(iv) Legados sem Itaipu e descotização Eletrobras</c:v>
                </c:pt>
              </c:strCache>
            </c:strRef>
          </c:tx>
          <c:spPr>
            <a:ln w="508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DADOS!$F$66:$T$66</c:f>
              <c:numCache>
                <c:formatCode>_-* #,##0_-;\-* #,##0_-;_-* "-"??_-;_-@_-</c:formatCode>
                <c:ptCount val="15"/>
                <c:pt idx="0">
                  <c:v>49600</c:v>
                </c:pt>
                <c:pt idx="1">
                  <c:v>49000</c:v>
                </c:pt>
                <c:pt idx="2">
                  <c:v>48200</c:v>
                </c:pt>
                <c:pt idx="3">
                  <c:v>43090.5</c:v>
                </c:pt>
                <c:pt idx="4">
                  <c:v>38384.666666666664</c:v>
                </c:pt>
                <c:pt idx="5">
                  <c:v>33678.833333333328</c:v>
                </c:pt>
                <c:pt idx="6">
                  <c:v>29873</c:v>
                </c:pt>
                <c:pt idx="7">
                  <c:v>28573</c:v>
                </c:pt>
                <c:pt idx="8">
                  <c:v>28073</c:v>
                </c:pt>
                <c:pt idx="9">
                  <c:v>27673</c:v>
                </c:pt>
                <c:pt idx="10">
                  <c:v>27473</c:v>
                </c:pt>
                <c:pt idx="11">
                  <c:v>27173</c:v>
                </c:pt>
                <c:pt idx="12">
                  <c:v>27173</c:v>
                </c:pt>
                <c:pt idx="13">
                  <c:v>25973</c:v>
                </c:pt>
                <c:pt idx="14">
                  <c:v>24873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206-4289-8EB1-6F891B410557}"/>
            </c:ext>
          </c:extLst>
        </c:ser>
        <c:marker val="1"/>
        <c:axId val="89106688"/>
        <c:axId val="87687168"/>
      </c:lineChart>
      <c:catAx>
        <c:axId val="891066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687168"/>
        <c:crosses val="autoZero"/>
        <c:auto val="1"/>
        <c:lblAlgn val="ctr"/>
        <c:lblOffset val="100"/>
      </c:catAx>
      <c:valAx>
        <c:axId val="87687168"/>
        <c:scaling>
          <c:orientation val="minMax"/>
          <c:max val="8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10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26127165018397"/>
          <c:y val="0.85071460889468564"/>
          <c:w val="0.74684530998087328"/>
          <c:h val="0.1197096319165358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 b="1"/>
              <a:t>Consumo</a:t>
            </a:r>
            <a:r>
              <a:rPr lang="pt-BR" sz="1600" b="1" baseline="0"/>
              <a:t> ACR</a:t>
            </a:r>
            <a:endParaRPr lang="pt-BR" sz="1600" b="1"/>
          </a:p>
        </c:rich>
      </c:tx>
      <c:layout>
        <c:manualLayout>
          <c:xMode val="edge"/>
          <c:yMode val="edge"/>
          <c:x val="0.42647750996433342"/>
          <c:y val="1.9012988049929475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2929135770894526E-2"/>
          <c:y val="1.401155750139728E-2"/>
          <c:w val="0.8609809948644126"/>
          <c:h val="0.49433985175525041"/>
        </c:manualLayout>
      </c:layout>
      <c:barChart>
        <c:barDir val="col"/>
        <c:grouping val="stacked"/>
        <c:ser>
          <c:idx val="14"/>
          <c:order val="0"/>
          <c:tx>
            <c:v>Perdas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DADOS!$F$52:$T$52</c:f>
              <c:numCache>
                <c:formatCode>_-* #,##0_-;\-* #,##0_-;_-* "-"??_-;_-@_-</c:formatCode>
                <c:ptCount val="15"/>
                <c:pt idx="0">
                  <c:v>6621.8526765600009</c:v>
                </c:pt>
                <c:pt idx="1">
                  <c:v>6860.2393729161604</c:v>
                </c:pt>
                <c:pt idx="2">
                  <c:v>7107.2079903411422</c:v>
                </c:pt>
                <c:pt idx="3">
                  <c:v>7363.0674779934243</c:v>
                </c:pt>
                <c:pt idx="4">
                  <c:v>7628.1379072011869</c:v>
                </c:pt>
                <c:pt idx="5">
                  <c:v>7902.7508718604304</c:v>
                </c:pt>
                <c:pt idx="6">
                  <c:v>8187.2499032474061</c:v>
                </c:pt>
                <c:pt idx="7">
                  <c:v>8481.9908997643124</c:v>
                </c:pt>
                <c:pt idx="8">
                  <c:v>8787.3425721558287</c:v>
                </c:pt>
                <c:pt idx="9">
                  <c:v>9103.6869047534401</c:v>
                </c:pt>
                <c:pt idx="10">
                  <c:v>9431.4196333245636</c:v>
                </c:pt>
                <c:pt idx="11">
                  <c:v>9770.9507401242481</c:v>
                </c:pt>
                <c:pt idx="12">
                  <c:v>10122.704966768721</c:v>
                </c:pt>
                <c:pt idx="13">
                  <c:v>10487.122345572394</c:v>
                </c:pt>
                <c:pt idx="14">
                  <c:v>10864.658750013001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206-4289-8EB1-6F891B410557}"/>
            </c:ext>
          </c:extLst>
        </c:ser>
        <c:ser>
          <c:idx val="17"/>
          <c:order val="1"/>
          <c:tx>
            <c:strRef>
              <c:f>DADOS!$B$88</c:f>
              <c:strCache>
                <c:ptCount val="1"/>
                <c:pt idx="0">
                  <c:v>Mercado Residual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val>
            <c:numRef>
              <c:f>DADOS!$F$88:$T$88</c:f>
              <c:numCache>
                <c:formatCode>_-* #,##0_-;\-* #,##0_-;_-* "-"??_-;_-@_-</c:formatCode>
                <c:ptCount val="15"/>
                <c:pt idx="0">
                  <c:v>15167.371488468512</c:v>
                </c:pt>
                <c:pt idx="1">
                  <c:v>15713.396862053376</c:v>
                </c:pt>
                <c:pt idx="2">
                  <c:v>16279.079149087302</c:v>
                </c:pt>
                <c:pt idx="3">
                  <c:v>16865.125998454441</c:v>
                </c:pt>
                <c:pt idx="4">
                  <c:v>17472.270534398805</c:v>
                </c:pt>
                <c:pt idx="5">
                  <c:v>18101.272273637158</c:v>
                </c:pt>
                <c:pt idx="6">
                  <c:v>18752.918075488087</c:v>
                </c:pt>
                <c:pt idx="7">
                  <c:v>19428.023126205684</c:v>
                </c:pt>
                <c:pt idx="8">
                  <c:v>20127.431958749065</c:v>
                </c:pt>
                <c:pt idx="9">
                  <c:v>20852.019509264039</c:v>
                </c:pt>
                <c:pt idx="10">
                  <c:v>21602.692211597547</c:v>
                </c:pt>
                <c:pt idx="11">
                  <c:v>22380.389131215055</c:v>
                </c:pt>
                <c:pt idx="12">
                  <c:v>23186.083139938801</c:v>
                </c:pt>
                <c:pt idx="13">
                  <c:v>24020.782132976608</c:v>
                </c:pt>
                <c:pt idx="14">
                  <c:v>24885.530289763759</c:v>
                </c:pt>
              </c:numCache>
            </c:numRef>
          </c:val>
        </c:ser>
        <c:ser>
          <c:idx val="11"/>
          <c:order val="2"/>
          <c:tx>
            <c:strRef>
              <c:f>DADOS!$B$47</c:f>
              <c:strCache>
                <c:ptCount val="1"/>
                <c:pt idx="0">
                  <c:v>B1 ≤ 220 kWh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DADOS!$F$82:$T$82</c:f>
              <c:numCache>
                <c:formatCode>_-* #,##0_-;\-* #,##0_-;_-* "-"??_-;_-@_-</c:formatCode>
                <c:ptCount val="15"/>
                <c:pt idx="0">
                  <c:v>3405.8609239512348</c:v>
                </c:pt>
                <c:pt idx="1">
                  <c:v>3528.4719172134796</c:v>
                </c:pt>
                <c:pt idx="2">
                  <c:v>3655.4969062331647</c:v>
                </c:pt>
                <c:pt idx="3">
                  <c:v>3787.0947948575586</c:v>
                </c:pt>
                <c:pt idx="4">
                  <c:v>3923.430207472431</c:v>
                </c:pt>
                <c:pt idx="5">
                  <c:v>4064.673694941438</c:v>
                </c:pt>
                <c:pt idx="6">
                  <c:v>4211.0019479593302</c:v>
                </c:pt>
                <c:pt idx="7">
                  <c:v>4362.598018085866</c:v>
                </c:pt>
                <c:pt idx="8">
                  <c:v>4519.6515467369572</c:v>
                </c:pt>
                <c:pt idx="9">
                  <c:v>4682.3590024194882</c:v>
                </c:pt>
                <c:pt idx="10">
                  <c:v>4850.9239265065899</c:v>
                </c:pt>
                <c:pt idx="11">
                  <c:v>5025.5571878608271</c:v>
                </c:pt>
                <c:pt idx="12">
                  <c:v>5206.4772466238173</c:v>
                </c:pt>
                <c:pt idx="13">
                  <c:v>5393.9104275022746</c:v>
                </c:pt>
                <c:pt idx="14">
                  <c:v>5588.0912028923567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206-4289-8EB1-6F891B410557}"/>
            </c:ext>
          </c:extLst>
        </c:ser>
        <c:ser>
          <c:idx val="10"/>
          <c:order val="3"/>
          <c:tx>
            <c:strRef>
              <c:f>DADOS!$B$46</c:f>
              <c:strCache>
                <c:ptCount val="1"/>
                <c:pt idx="0">
                  <c:v>B1 221 a 500 kWh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DADOS!$F$81:$T$81</c:f>
              <c:numCache>
                <c:formatCode>_-* #,##0_-;\-* #,##0_-;_-* "-"??_-;_-@_-</c:formatCode>
                <c:ptCount val="15"/>
                <c:pt idx="0">
                  <c:v>2344.3155252689421</c:v>
                </c:pt>
                <c:pt idx="1">
                  <c:v>2428.7108841786244</c:v>
                </c:pt>
                <c:pt idx="2">
                  <c:v>2516.1444760090549</c:v>
                </c:pt>
                <c:pt idx="3">
                  <c:v>2606.7256771453808</c:v>
                </c:pt>
                <c:pt idx="4">
                  <c:v>2700.5678015226144</c:v>
                </c:pt>
                <c:pt idx="5">
                  <c:v>2797.7882423774286</c:v>
                </c:pt>
                <c:pt idx="6">
                  <c:v>2898.5086191030159</c:v>
                </c:pt>
                <c:pt idx="7">
                  <c:v>3002.8549293907245</c:v>
                </c:pt>
                <c:pt idx="8">
                  <c:v>3110.9577068487911</c:v>
                </c:pt>
                <c:pt idx="9">
                  <c:v>3222.9521842953477</c:v>
                </c:pt>
                <c:pt idx="10">
                  <c:v>3338.9784629299802</c:v>
                </c:pt>
                <c:pt idx="11">
                  <c:v>3459.1816875954596</c:v>
                </c:pt>
                <c:pt idx="12">
                  <c:v>3583.7122283488961</c:v>
                </c:pt>
                <c:pt idx="13">
                  <c:v>3712.7258685694565</c:v>
                </c:pt>
                <c:pt idx="14">
                  <c:v>3846.3839998379572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206-4289-8EB1-6F891B410557}"/>
            </c:ext>
          </c:extLst>
        </c:ser>
        <c:ser>
          <c:idx val="9"/>
          <c:order val="4"/>
          <c:tx>
            <c:strRef>
              <c:f>DADOS!$B$45</c:f>
              <c:strCache>
                <c:ptCount val="1"/>
                <c:pt idx="0">
                  <c:v>B1 501 a 1.000 kWh + (B2 + B3 ≤ 1.000)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DADOS!$F$80:$T$80</c:f>
              <c:numCache>
                <c:formatCode>_-* #,##0_-;\-* #,##0_-;_-* "-"??_-;_-@_-</c:formatCode>
                <c:ptCount val="15"/>
                <c:pt idx="0">
                  <c:v>4191.0837222897171</c:v>
                </c:pt>
                <c:pt idx="1">
                  <c:v>4341.9627362921474</c:v>
                </c:pt>
                <c:pt idx="2">
                  <c:v>4498.2733947986644</c:v>
                </c:pt>
                <c:pt idx="3">
                  <c:v>4660.2112370114173</c:v>
                </c:pt>
                <c:pt idx="4">
                  <c:v>4827.9788415438279</c:v>
                </c:pt>
                <c:pt idx="5">
                  <c:v>5001.7860798394058</c:v>
                </c:pt>
                <c:pt idx="6">
                  <c:v>5181.8503787136242</c:v>
                </c:pt>
                <c:pt idx="7">
                  <c:v>5368.3969923473151</c:v>
                </c:pt>
                <c:pt idx="8">
                  <c:v>5561.6592840718185</c:v>
                </c:pt>
                <c:pt idx="9">
                  <c:v>5761.8790182984039</c:v>
                </c:pt>
                <c:pt idx="10">
                  <c:v>5969.3066629571467</c:v>
                </c:pt>
                <c:pt idx="11">
                  <c:v>6184.2017028236041</c:v>
                </c:pt>
                <c:pt idx="12">
                  <c:v>6406.8329641252549</c:v>
                </c:pt>
                <c:pt idx="13">
                  <c:v>6637.4789508337635</c:v>
                </c:pt>
                <c:pt idx="14">
                  <c:v>6876.428193063779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206-4289-8EB1-6F891B410557}"/>
            </c:ext>
          </c:extLst>
        </c:ser>
        <c:ser>
          <c:idx val="8"/>
          <c:order val="5"/>
          <c:tx>
            <c:strRef>
              <c:f>DADOS!$B$44</c:f>
              <c:strCache>
                <c:ptCount val="1"/>
                <c:pt idx="0">
                  <c:v>BT ≥ 1.001 kWh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DADOS!$F$79:$T$79</c:f>
              <c:numCache>
                <c:formatCode>_-* #,##0_-;\-* #,##0_-;_-* "-"??_-;_-@_-</c:formatCode>
                <c:ptCount val="15"/>
                <c:pt idx="0">
                  <c:v>5230.6524648572176</c:v>
                </c:pt>
                <c:pt idx="1">
                  <c:v>5418.955953592078</c:v>
                </c:pt>
                <c:pt idx="2">
                  <c:v>5614.0383679213928</c:v>
                </c:pt>
                <c:pt idx="3">
                  <c:v>5816.1437491665629</c:v>
                </c:pt>
                <c:pt idx="4">
                  <c:v>6025.5249241365591</c:v>
                </c:pt>
                <c:pt idx="5">
                  <c:v>6242.4438214054753</c:v>
                </c:pt>
                <c:pt idx="6">
                  <c:v>6467.1717989760728</c:v>
                </c:pt>
                <c:pt idx="7">
                  <c:v>6699.9899837392131</c:v>
                </c:pt>
                <c:pt idx="8">
                  <c:v>6941.1896231538249</c:v>
                </c:pt>
                <c:pt idx="9">
                  <c:v>7191.0724495873619</c:v>
                </c:pt>
                <c:pt idx="10">
                  <c:v>7449.9510577725077</c:v>
                </c:pt>
                <c:pt idx="11">
                  <c:v>7718.1492958523186</c:v>
                </c:pt>
                <c:pt idx="12">
                  <c:v>7996.0026705030032</c:v>
                </c:pt>
                <c:pt idx="13">
                  <c:v>8283.8587666411113</c:v>
                </c:pt>
                <c:pt idx="14">
                  <c:v>8582.0776822401913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206-4289-8EB1-6F891B410557}"/>
            </c:ext>
          </c:extLst>
        </c:ser>
        <c:ser>
          <c:idx val="7"/>
          <c:order val="6"/>
          <c:tx>
            <c:strRef>
              <c:f>DADOS!$B$43</c:f>
              <c:strCache>
                <c:ptCount val="1"/>
                <c:pt idx="0">
                  <c:v>AT ≤ 50 kW 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DADOS!$F$78:$T$78</c:f>
              <c:numCache>
                <c:formatCode>_-* #,##0_-;\-* #,##0_-;_-* "-"??_-;_-@_-</c:formatCode>
                <c:ptCount val="15"/>
                <c:pt idx="0">
                  <c:v>298.02845406098055</c:v>
                </c:pt>
                <c:pt idx="1">
                  <c:v>308.75747840717582</c:v>
                </c:pt>
                <c:pt idx="2">
                  <c:v>319.87274762983424</c:v>
                </c:pt>
                <c:pt idx="3">
                  <c:v>331.38816654450824</c:v>
                </c:pt>
                <c:pt idx="4">
                  <c:v>343.31814054011056</c:v>
                </c:pt>
                <c:pt idx="5">
                  <c:v>355.67759359955448</c:v>
                </c:pt>
                <c:pt idx="6">
                  <c:v>368.48198696913846</c:v>
                </c:pt>
                <c:pt idx="7">
                  <c:v>381.74733850002747</c:v>
                </c:pt>
                <c:pt idx="8">
                  <c:v>395.49024268602847</c:v>
                </c:pt>
                <c:pt idx="9">
                  <c:v>409.72789142272546</c:v>
                </c:pt>
                <c:pt idx="10">
                  <c:v>424.47809551394363</c:v>
                </c:pt>
                <c:pt idx="11">
                  <c:v>439.75930695244557</c:v>
                </c:pt>
                <c:pt idx="12">
                  <c:v>455.59064200273366</c:v>
                </c:pt>
                <c:pt idx="13">
                  <c:v>471.99190511483209</c:v>
                </c:pt>
                <c:pt idx="14">
                  <c:v>488.983613698966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206-4289-8EB1-6F891B410557}"/>
            </c:ext>
          </c:extLst>
        </c:ser>
        <c:ser>
          <c:idx val="6"/>
          <c:order val="7"/>
          <c:tx>
            <c:strRef>
              <c:f>DADOS!$B$42</c:f>
              <c:strCache>
                <c:ptCount val="1"/>
                <c:pt idx="0">
                  <c:v>AT 51 a 100 kW 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DADOS!$F$77:$T$77</c:f>
              <c:numCache>
                <c:formatCode>_-* #,##0_-;\-* #,##0_-;_-* "-"??_-;_-@_-</c:formatCode>
                <c:ptCount val="15"/>
                <c:pt idx="0">
                  <c:v>908.33373448864586</c:v>
                </c:pt>
                <c:pt idx="1">
                  <c:v>941.03374893023715</c:v>
                </c:pt>
                <c:pt idx="2">
                  <c:v>974.91096389172571</c:v>
                </c:pt>
                <c:pt idx="3">
                  <c:v>1010.0077585918278</c:v>
                </c:pt>
                <c:pt idx="4">
                  <c:v>1046.3680379011334</c:v>
                </c:pt>
                <c:pt idx="5">
                  <c:v>1084.0372872655744</c:v>
                </c:pt>
                <c:pt idx="6">
                  <c:v>1123.062629607135</c:v>
                </c:pt>
                <c:pt idx="7">
                  <c:v>1163.4928842729921</c:v>
                </c:pt>
                <c:pt idx="8">
                  <c:v>1205.3786281068199</c:v>
                </c:pt>
                <c:pt idx="9">
                  <c:v>1248.7722587186654</c:v>
                </c:pt>
                <c:pt idx="10">
                  <c:v>1293.7280600325373</c:v>
                </c:pt>
                <c:pt idx="11">
                  <c:v>1340.3022701937086</c:v>
                </c:pt>
                <c:pt idx="12">
                  <c:v>1388.5531519206822</c:v>
                </c:pt>
                <c:pt idx="13">
                  <c:v>1438.5410653898268</c:v>
                </c:pt>
                <c:pt idx="14">
                  <c:v>1490.3285437438606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06-4289-8EB1-6F891B410557}"/>
            </c:ext>
          </c:extLst>
        </c:ser>
        <c:ser>
          <c:idx val="5"/>
          <c:order val="8"/>
          <c:tx>
            <c:strRef>
              <c:f>DADOS!$B$41</c:f>
              <c:strCache>
                <c:ptCount val="1"/>
                <c:pt idx="0">
                  <c:v>AT 101 a 200 kW 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DADOS!$F$76:$T$76</c:f>
              <c:numCache>
                <c:formatCode>_-* #,##0_-;\-* #,##0_-;_-* "-"??_-;_-@_-</c:formatCode>
                <c:ptCount val="15"/>
                <c:pt idx="0">
                  <c:v>1779.8591738542223</c:v>
                </c:pt>
                <c:pt idx="1">
                  <c:v>1843.9341041129742</c:v>
                </c:pt>
                <c:pt idx="2">
                  <c:v>1910.3157318610413</c:v>
                </c:pt>
                <c:pt idx="3">
                  <c:v>1979.0870982080387</c:v>
                </c:pt>
                <c:pt idx="4">
                  <c:v>2050.3342337435283</c:v>
                </c:pt>
                <c:pt idx="5">
                  <c:v>2124.1462661582955</c:v>
                </c:pt>
                <c:pt idx="6">
                  <c:v>2200.6155317399944</c:v>
                </c:pt>
                <c:pt idx="7">
                  <c:v>2279.837690882634</c:v>
                </c:pt>
                <c:pt idx="8">
                  <c:v>2361.9118477544089</c:v>
                </c:pt>
                <c:pt idx="9">
                  <c:v>2446.9406742735678</c:v>
                </c:pt>
                <c:pt idx="10">
                  <c:v>2535.0305385474157</c:v>
                </c:pt>
                <c:pt idx="11">
                  <c:v>2626.2916379351232</c:v>
                </c:pt>
                <c:pt idx="12">
                  <c:v>2720.8381369007875</c:v>
                </c:pt>
                <c:pt idx="13">
                  <c:v>2818.7883098292159</c:v>
                </c:pt>
                <c:pt idx="14">
                  <c:v>2920.2646889830676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206-4289-8EB1-6F891B410557}"/>
            </c:ext>
          </c:extLst>
        </c:ser>
        <c:ser>
          <c:idx val="4"/>
          <c:order val="9"/>
          <c:tx>
            <c:strRef>
              <c:f>DADOS!$B$40</c:f>
              <c:strCache>
                <c:ptCount val="1"/>
                <c:pt idx="0">
                  <c:v>AT 201 a 300 kW 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DADOS!$F$75:$T$75</c:f>
              <c:numCache>
                <c:formatCode>_-* #,##0_-;\-* #,##0_-;_-* "-"??_-;_-@_-</c:formatCode>
                <c:ptCount val="15"/>
                <c:pt idx="0">
                  <c:v>1652.8111874616927</c:v>
                </c:pt>
                <c:pt idx="1">
                  <c:v>1712.3123902103137</c:v>
                </c:pt>
                <c:pt idx="2">
                  <c:v>1773.9556362578849</c:v>
                </c:pt>
                <c:pt idx="3">
                  <c:v>1837.8180391631688</c:v>
                </c:pt>
                <c:pt idx="4">
                  <c:v>1903.979488573043</c:v>
                </c:pt>
                <c:pt idx="5">
                  <c:v>1972.5227501616725</c:v>
                </c:pt>
                <c:pt idx="6">
                  <c:v>2043.5335691674929</c:v>
                </c:pt>
                <c:pt idx="7">
                  <c:v>2117.1007776575225</c:v>
                </c:pt>
                <c:pt idx="8">
                  <c:v>2193.3164056531932</c:v>
                </c:pt>
                <c:pt idx="9">
                  <c:v>2272.2757962567084</c:v>
                </c:pt>
                <c:pt idx="10">
                  <c:v>2354.07772492195</c:v>
                </c:pt>
                <c:pt idx="11">
                  <c:v>2438.8245230191401</c:v>
                </c:pt>
                <c:pt idx="12">
                  <c:v>2526.6222058478293</c:v>
                </c:pt>
                <c:pt idx="13">
                  <c:v>2617.5806052583512</c:v>
                </c:pt>
                <c:pt idx="14">
                  <c:v>2711.8135070476519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06-4289-8EB1-6F891B410557}"/>
            </c:ext>
          </c:extLst>
        </c:ser>
        <c:ser>
          <c:idx val="3"/>
          <c:order val="10"/>
          <c:tx>
            <c:strRef>
              <c:f>DADOS!$B$39</c:f>
              <c:strCache>
                <c:ptCount val="1"/>
                <c:pt idx="0">
                  <c:v>AT 301 a 500 kW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DADOS!$F$74:$T$74</c:f>
              <c:numCache>
                <c:formatCode>_-* #,##0_-;\-* #,##0_-;_-* "-"??_-;_-@_-</c:formatCode>
                <c:ptCount val="15"/>
                <c:pt idx="0">
                  <c:v>919.02001371792403</c:v>
                </c:pt>
                <c:pt idx="1">
                  <c:v>952.10473421176926</c:v>
                </c:pt>
                <c:pt idx="2">
                  <c:v>986.38050464339301</c:v>
                </c:pt>
                <c:pt idx="3">
                  <c:v>1021.8902028105553</c:v>
                </c:pt>
                <c:pt idx="4">
                  <c:v>1058.6782501117352</c:v>
                </c:pt>
                <c:pt idx="5">
                  <c:v>1096.7906671157577</c:v>
                </c:pt>
                <c:pt idx="6">
                  <c:v>1136.275131131925</c:v>
                </c:pt>
                <c:pt idx="7">
                  <c:v>1177.1810358526743</c:v>
                </c:pt>
                <c:pt idx="8">
                  <c:v>1219.5595531433705</c:v>
                </c:pt>
                <c:pt idx="9">
                  <c:v>1263.4636970565321</c:v>
                </c:pt>
                <c:pt idx="10">
                  <c:v>1308.9483901505673</c:v>
                </c:pt>
                <c:pt idx="11">
                  <c:v>1356.0705321959877</c:v>
                </c:pt>
                <c:pt idx="12">
                  <c:v>1404.8890713550434</c:v>
                </c:pt>
                <c:pt idx="13">
                  <c:v>1455.465077923825</c:v>
                </c:pt>
                <c:pt idx="14">
                  <c:v>1507.8618207290826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06-4289-8EB1-6F891B410557}"/>
            </c:ext>
          </c:extLst>
        </c:ser>
        <c:ser>
          <c:idx val="2"/>
          <c:order val="11"/>
          <c:tx>
            <c:strRef>
              <c:f>DADOS!$B$38</c:f>
              <c:strCache>
                <c:ptCount val="1"/>
                <c:pt idx="0">
                  <c:v>AT 501 a 1.000 kW 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DADOS!$F$73:$T$73</c:f>
              <c:numCache>
                <c:formatCode>_-* #,##0_-;\-* #,##0_-;_-* "-"??_-;_-@_-</c:formatCode>
                <c:ptCount val="15"/>
                <c:pt idx="0">
                  <c:v>1657.5606448969274</c:v>
                </c:pt>
                <c:pt idx="1">
                  <c:v>1717.232828113217</c:v>
                </c:pt>
                <c:pt idx="2">
                  <c:v>1779.0532099252928</c:v>
                </c:pt>
                <c:pt idx="3">
                  <c:v>1843.0991254826033</c:v>
                </c:pt>
                <c:pt idx="4">
                  <c:v>1909.4506939999769</c:v>
                </c:pt>
                <c:pt idx="5">
                  <c:v>1978.190918983976</c:v>
                </c:pt>
                <c:pt idx="6">
                  <c:v>2049.4057920673995</c:v>
                </c:pt>
                <c:pt idx="7">
                  <c:v>2123.1844005818257</c:v>
                </c:pt>
                <c:pt idx="8">
                  <c:v>2199.6190390027714</c:v>
                </c:pt>
                <c:pt idx="9">
                  <c:v>2278.805324406871</c:v>
                </c:pt>
                <c:pt idx="10">
                  <c:v>2360.8423160855191</c:v>
                </c:pt>
                <c:pt idx="11">
                  <c:v>2445.8326394645978</c:v>
                </c:pt>
                <c:pt idx="12">
                  <c:v>2533.8826144853238</c:v>
                </c:pt>
                <c:pt idx="13">
                  <c:v>2625.1023886067951</c:v>
                </c:pt>
                <c:pt idx="14">
                  <c:v>2719.6060745966402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06-4289-8EB1-6F891B410557}"/>
            </c:ext>
          </c:extLst>
        </c:ser>
        <c:ser>
          <c:idx val="1"/>
          <c:order val="12"/>
          <c:tx>
            <c:strRef>
              <c:f>DADOS!$B$37</c:f>
              <c:strCache>
                <c:ptCount val="1"/>
                <c:pt idx="0">
                  <c:v>AT 1.001 a 1.500 kW 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DADOS!$F$72:$T$72</c:f>
              <c:numCache>
                <c:formatCode>_-* #,##0_-;\-* #,##0_-;_-* "-"??_-;_-@_-</c:formatCode>
                <c:ptCount val="15"/>
                <c:pt idx="0">
                  <c:v>755.16373220232515</c:v>
                </c:pt>
                <c:pt idx="1">
                  <c:v>782.34962656160883</c:v>
                </c:pt>
                <c:pt idx="2">
                  <c:v>810.51421311782667</c:v>
                </c:pt>
                <c:pt idx="3">
                  <c:v>839.6927247900685</c:v>
                </c:pt>
                <c:pt idx="4">
                  <c:v>869.92166288251099</c:v>
                </c:pt>
                <c:pt idx="5">
                  <c:v>901.23884274628142</c:v>
                </c:pt>
                <c:pt idx="6">
                  <c:v>933.68344108514748</c:v>
                </c:pt>
                <c:pt idx="7">
                  <c:v>967.2960449642128</c:v>
                </c:pt>
                <c:pt idx="8">
                  <c:v>1002.1187025829246</c:v>
                </c:pt>
                <c:pt idx="9">
                  <c:v>1038.1949758759099</c:v>
                </c:pt>
                <c:pt idx="10">
                  <c:v>1075.5699950074425</c:v>
                </c:pt>
                <c:pt idx="11">
                  <c:v>1114.2905148277105</c:v>
                </c:pt>
                <c:pt idx="12">
                  <c:v>1154.4049733615082</c:v>
                </c:pt>
                <c:pt idx="13">
                  <c:v>1195.9635524025225</c:v>
                </c:pt>
                <c:pt idx="14">
                  <c:v>1239.0182402890134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06-4289-8EB1-6F891B410557}"/>
            </c:ext>
          </c:extLst>
        </c:ser>
        <c:ser>
          <c:idx val="0"/>
          <c:order val="13"/>
          <c:tx>
            <c:strRef>
              <c:f>DADOS!$B$36</c:f>
              <c:strCache>
                <c:ptCount val="1"/>
                <c:pt idx="0">
                  <c:v>AT ≥ 1.501 kW 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DADOS!$F$71:$T$71</c:f>
              <c:numCache>
                <c:formatCode>_-* #,##0_-;\-* #,##0_-;_-* "-"??_-;_-@_-</c:formatCode>
                <c:ptCount val="15"/>
                <c:pt idx="0">
                  <c:v>2031.5804179216641</c:v>
                </c:pt>
                <c:pt idx="1">
                  <c:v>2104.717312966844</c:v>
                </c:pt>
                <c:pt idx="2">
                  <c:v>2180.4871362336507</c:v>
                </c:pt>
                <c:pt idx="3">
                  <c:v>2258.9846731380621</c:v>
                </c:pt>
                <c:pt idx="4">
                  <c:v>2340.3081213710325</c:v>
                </c:pt>
                <c:pt idx="5">
                  <c:v>2424.5592137403896</c:v>
                </c:pt>
                <c:pt idx="6">
                  <c:v>2511.8433454350438</c:v>
                </c:pt>
                <c:pt idx="7">
                  <c:v>2602.2697058707054</c:v>
                </c:pt>
                <c:pt idx="8">
                  <c:v>2695.9514152820511</c:v>
                </c:pt>
                <c:pt idx="9">
                  <c:v>2793.0056662322049</c:v>
                </c:pt>
                <c:pt idx="10">
                  <c:v>2893.5538702165645</c:v>
                </c:pt>
                <c:pt idx="11">
                  <c:v>2997.7218095443604</c:v>
                </c:pt>
                <c:pt idx="12">
                  <c:v>3105.6397946879579</c:v>
                </c:pt>
                <c:pt idx="13">
                  <c:v>3217.4428272967243</c:v>
                </c:pt>
                <c:pt idx="14">
                  <c:v>3333.2707690794064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6-4289-8EB1-6F891B410557}"/>
            </c:ext>
          </c:extLst>
        </c:ser>
        <c:overlap val="100"/>
        <c:axId val="89262720"/>
        <c:axId val="89268608"/>
      </c:barChart>
      <c:catAx>
        <c:axId val="892627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268608"/>
        <c:crosses val="autoZero"/>
        <c:auto val="1"/>
        <c:lblAlgn val="ctr"/>
        <c:lblOffset val="100"/>
      </c:catAx>
      <c:valAx>
        <c:axId val="89268608"/>
        <c:scaling>
          <c:orientation val="minMax"/>
          <c:max val="8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26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612605412812864E-2"/>
          <c:y val="0.64333397652569735"/>
          <c:w val="0.88108479263761619"/>
          <c:h val="0.2455764445213322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 b="1"/>
              <a:t>Consumo ACR x Contratos Legados</a:t>
            </a:r>
          </a:p>
        </c:rich>
      </c:tx>
      <c:layout>
        <c:manualLayout>
          <c:xMode val="edge"/>
          <c:yMode val="edge"/>
          <c:x val="0.35540954855782192"/>
          <c:y val="1.690043382215954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4245209130274469E-2"/>
          <c:y val="1.401155750139728E-2"/>
          <c:w val="0.8609809948644126"/>
          <c:h val="0.49433985175525036"/>
        </c:manualLayout>
      </c:layout>
      <c:barChart>
        <c:barDir val="col"/>
        <c:grouping val="stacked"/>
        <c:ser>
          <c:idx val="14"/>
          <c:order val="0"/>
          <c:tx>
            <c:v>Perdas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DADOS!$F$52:$T$52</c:f>
              <c:numCache>
                <c:formatCode>_-* #,##0_-;\-* #,##0_-;_-* "-"??_-;_-@_-</c:formatCode>
                <c:ptCount val="15"/>
                <c:pt idx="0">
                  <c:v>6621.8526765600009</c:v>
                </c:pt>
                <c:pt idx="1">
                  <c:v>6860.2393729161604</c:v>
                </c:pt>
                <c:pt idx="2">
                  <c:v>7107.2079903411422</c:v>
                </c:pt>
                <c:pt idx="3">
                  <c:v>7363.0674779934243</c:v>
                </c:pt>
                <c:pt idx="4">
                  <c:v>7628.1379072011869</c:v>
                </c:pt>
                <c:pt idx="5">
                  <c:v>7902.7508718604304</c:v>
                </c:pt>
                <c:pt idx="6">
                  <c:v>8187.2499032474061</c:v>
                </c:pt>
                <c:pt idx="7">
                  <c:v>8481.9908997643124</c:v>
                </c:pt>
                <c:pt idx="8">
                  <c:v>8787.3425721558287</c:v>
                </c:pt>
                <c:pt idx="9">
                  <c:v>9103.6869047534401</c:v>
                </c:pt>
                <c:pt idx="10">
                  <c:v>9431.4196333245636</c:v>
                </c:pt>
                <c:pt idx="11">
                  <c:v>9770.9507401242481</c:v>
                </c:pt>
                <c:pt idx="12">
                  <c:v>10122.704966768721</c:v>
                </c:pt>
                <c:pt idx="13">
                  <c:v>10487.122345572394</c:v>
                </c:pt>
                <c:pt idx="14">
                  <c:v>10864.658750013001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206-4289-8EB1-6F891B410557}"/>
            </c:ext>
          </c:extLst>
        </c:ser>
        <c:ser>
          <c:idx val="17"/>
          <c:order val="1"/>
          <c:tx>
            <c:strRef>
              <c:f>DADOS!$B$88</c:f>
              <c:strCache>
                <c:ptCount val="1"/>
                <c:pt idx="0">
                  <c:v>Mercado Residual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val>
            <c:numRef>
              <c:f>DADOS!$F$88:$T$88</c:f>
              <c:numCache>
                <c:formatCode>_-* #,##0_-;\-* #,##0_-;_-* "-"??_-;_-@_-</c:formatCode>
                <c:ptCount val="15"/>
                <c:pt idx="0">
                  <c:v>15167.371488468512</c:v>
                </c:pt>
                <c:pt idx="1">
                  <c:v>15713.396862053376</c:v>
                </c:pt>
                <c:pt idx="2">
                  <c:v>16279.079149087302</c:v>
                </c:pt>
                <c:pt idx="3">
                  <c:v>16865.125998454441</c:v>
                </c:pt>
                <c:pt idx="4">
                  <c:v>17472.270534398805</c:v>
                </c:pt>
                <c:pt idx="5">
                  <c:v>18101.272273637158</c:v>
                </c:pt>
                <c:pt idx="6">
                  <c:v>18752.918075488087</c:v>
                </c:pt>
                <c:pt idx="7">
                  <c:v>19428.023126205684</c:v>
                </c:pt>
                <c:pt idx="8">
                  <c:v>20127.431958749065</c:v>
                </c:pt>
                <c:pt idx="9">
                  <c:v>20852.019509264039</c:v>
                </c:pt>
                <c:pt idx="10">
                  <c:v>21602.692211597547</c:v>
                </c:pt>
                <c:pt idx="11">
                  <c:v>22380.389131215055</c:v>
                </c:pt>
                <c:pt idx="12">
                  <c:v>23186.083139938801</c:v>
                </c:pt>
                <c:pt idx="13">
                  <c:v>24020.782132976608</c:v>
                </c:pt>
                <c:pt idx="14">
                  <c:v>24885.530289763759</c:v>
                </c:pt>
              </c:numCache>
            </c:numRef>
          </c:val>
        </c:ser>
        <c:ser>
          <c:idx val="11"/>
          <c:order val="2"/>
          <c:tx>
            <c:strRef>
              <c:f>DADOS!$B$47</c:f>
              <c:strCache>
                <c:ptCount val="1"/>
                <c:pt idx="0">
                  <c:v>B1 ≤ 220 kWh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DADOS!$F$82:$T$82</c:f>
              <c:numCache>
                <c:formatCode>_-* #,##0_-;\-* #,##0_-;_-* "-"??_-;_-@_-</c:formatCode>
                <c:ptCount val="15"/>
                <c:pt idx="0">
                  <c:v>3405.8609239512348</c:v>
                </c:pt>
                <c:pt idx="1">
                  <c:v>3528.4719172134796</c:v>
                </c:pt>
                <c:pt idx="2">
                  <c:v>3655.4969062331647</c:v>
                </c:pt>
                <c:pt idx="3">
                  <c:v>3787.0947948575586</c:v>
                </c:pt>
                <c:pt idx="4">
                  <c:v>3923.430207472431</c:v>
                </c:pt>
                <c:pt idx="5">
                  <c:v>4064.673694941438</c:v>
                </c:pt>
                <c:pt idx="6">
                  <c:v>4211.0019479593302</c:v>
                </c:pt>
                <c:pt idx="7">
                  <c:v>4362.598018085866</c:v>
                </c:pt>
                <c:pt idx="8">
                  <c:v>4519.6515467369572</c:v>
                </c:pt>
                <c:pt idx="9">
                  <c:v>4682.3590024194882</c:v>
                </c:pt>
                <c:pt idx="10">
                  <c:v>4850.9239265065899</c:v>
                </c:pt>
                <c:pt idx="11">
                  <c:v>5025.5571878608271</c:v>
                </c:pt>
                <c:pt idx="12">
                  <c:v>5206.4772466238173</c:v>
                </c:pt>
                <c:pt idx="13">
                  <c:v>5393.9104275022746</c:v>
                </c:pt>
                <c:pt idx="14">
                  <c:v>5588.0912028923567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206-4289-8EB1-6F891B410557}"/>
            </c:ext>
          </c:extLst>
        </c:ser>
        <c:ser>
          <c:idx val="10"/>
          <c:order val="3"/>
          <c:tx>
            <c:strRef>
              <c:f>DADOS!$B$46</c:f>
              <c:strCache>
                <c:ptCount val="1"/>
                <c:pt idx="0">
                  <c:v>B1 221 a 500 kWh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DADOS!$F$81:$T$81</c:f>
              <c:numCache>
                <c:formatCode>_-* #,##0_-;\-* #,##0_-;_-* "-"??_-;_-@_-</c:formatCode>
                <c:ptCount val="15"/>
                <c:pt idx="0">
                  <c:v>2344.3155252689421</c:v>
                </c:pt>
                <c:pt idx="1">
                  <c:v>2428.7108841786244</c:v>
                </c:pt>
                <c:pt idx="2">
                  <c:v>2516.1444760090549</c:v>
                </c:pt>
                <c:pt idx="3">
                  <c:v>2606.7256771453808</c:v>
                </c:pt>
                <c:pt idx="4">
                  <c:v>2700.5678015226144</c:v>
                </c:pt>
                <c:pt idx="5">
                  <c:v>2797.7882423774286</c:v>
                </c:pt>
                <c:pt idx="6">
                  <c:v>2898.5086191030159</c:v>
                </c:pt>
                <c:pt idx="7">
                  <c:v>3002.8549293907245</c:v>
                </c:pt>
                <c:pt idx="8">
                  <c:v>3110.9577068487911</c:v>
                </c:pt>
                <c:pt idx="9">
                  <c:v>3222.9521842953477</c:v>
                </c:pt>
                <c:pt idx="10">
                  <c:v>3338.9784629299802</c:v>
                </c:pt>
                <c:pt idx="11">
                  <c:v>3459.1816875954596</c:v>
                </c:pt>
                <c:pt idx="12">
                  <c:v>3583.7122283488961</c:v>
                </c:pt>
                <c:pt idx="13">
                  <c:v>3712.7258685694565</c:v>
                </c:pt>
                <c:pt idx="14">
                  <c:v>3846.3839998379572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206-4289-8EB1-6F891B410557}"/>
            </c:ext>
          </c:extLst>
        </c:ser>
        <c:ser>
          <c:idx val="9"/>
          <c:order val="4"/>
          <c:tx>
            <c:strRef>
              <c:f>DADOS!$B$45</c:f>
              <c:strCache>
                <c:ptCount val="1"/>
                <c:pt idx="0">
                  <c:v>B1 501 a 1.000 kWh + (B2 + B3 ≤ 1.000)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DADOS!$F$80:$T$80</c:f>
              <c:numCache>
                <c:formatCode>_-* #,##0_-;\-* #,##0_-;_-* "-"??_-;_-@_-</c:formatCode>
                <c:ptCount val="15"/>
                <c:pt idx="0">
                  <c:v>4191.0837222897171</c:v>
                </c:pt>
                <c:pt idx="1">
                  <c:v>4341.9627362921474</c:v>
                </c:pt>
                <c:pt idx="2">
                  <c:v>4498.2733947986644</c:v>
                </c:pt>
                <c:pt idx="3">
                  <c:v>4660.2112370114173</c:v>
                </c:pt>
                <c:pt idx="4">
                  <c:v>4827.9788415438279</c:v>
                </c:pt>
                <c:pt idx="5">
                  <c:v>5001.7860798394058</c:v>
                </c:pt>
                <c:pt idx="6">
                  <c:v>5181.8503787136242</c:v>
                </c:pt>
                <c:pt idx="7">
                  <c:v>5368.3969923473151</c:v>
                </c:pt>
                <c:pt idx="8">
                  <c:v>5561.6592840718185</c:v>
                </c:pt>
                <c:pt idx="9">
                  <c:v>5761.8790182984039</c:v>
                </c:pt>
                <c:pt idx="10">
                  <c:v>5969.3066629571467</c:v>
                </c:pt>
                <c:pt idx="11">
                  <c:v>6184.2017028236041</c:v>
                </c:pt>
                <c:pt idx="12">
                  <c:v>6406.8329641252549</c:v>
                </c:pt>
                <c:pt idx="13">
                  <c:v>6637.4789508337635</c:v>
                </c:pt>
                <c:pt idx="14">
                  <c:v>6876.428193063779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206-4289-8EB1-6F891B410557}"/>
            </c:ext>
          </c:extLst>
        </c:ser>
        <c:ser>
          <c:idx val="8"/>
          <c:order val="5"/>
          <c:tx>
            <c:strRef>
              <c:f>DADOS!$B$44</c:f>
              <c:strCache>
                <c:ptCount val="1"/>
                <c:pt idx="0">
                  <c:v>BT ≥ 1.001 kWh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DADOS!$F$79:$T$79</c:f>
              <c:numCache>
                <c:formatCode>_-* #,##0_-;\-* #,##0_-;_-* "-"??_-;_-@_-</c:formatCode>
                <c:ptCount val="15"/>
                <c:pt idx="0">
                  <c:v>5230.6524648572176</c:v>
                </c:pt>
                <c:pt idx="1">
                  <c:v>5418.955953592078</c:v>
                </c:pt>
                <c:pt idx="2">
                  <c:v>5614.0383679213928</c:v>
                </c:pt>
                <c:pt idx="3">
                  <c:v>5816.1437491665629</c:v>
                </c:pt>
                <c:pt idx="4">
                  <c:v>6025.5249241365591</c:v>
                </c:pt>
                <c:pt idx="5">
                  <c:v>6242.4438214054753</c:v>
                </c:pt>
                <c:pt idx="6">
                  <c:v>6467.1717989760728</c:v>
                </c:pt>
                <c:pt idx="7">
                  <c:v>6699.9899837392131</c:v>
                </c:pt>
                <c:pt idx="8">
                  <c:v>6941.1896231538249</c:v>
                </c:pt>
                <c:pt idx="9">
                  <c:v>7191.0724495873619</c:v>
                </c:pt>
                <c:pt idx="10">
                  <c:v>7449.9510577725077</c:v>
                </c:pt>
                <c:pt idx="11">
                  <c:v>7718.1492958523186</c:v>
                </c:pt>
                <c:pt idx="12">
                  <c:v>7996.0026705030032</c:v>
                </c:pt>
                <c:pt idx="13">
                  <c:v>8283.8587666411113</c:v>
                </c:pt>
                <c:pt idx="14">
                  <c:v>8582.0776822401913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206-4289-8EB1-6F891B410557}"/>
            </c:ext>
          </c:extLst>
        </c:ser>
        <c:ser>
          <c:idx val="7"/>
          <c:order val="6"/>
          <c:tx>
            <c:strRef>
              <c:f>DADOS!$B$43</c:f>
              <c:strCache>
                <c:ptCount val="1"/>
                <c:pt idx="0">
                  <c:v>AT ≤ 50 kW 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DADOS!$F$78:$T$78</c:f>
              <c:numCache>
                <c:formatCode>_-* #,##0_-;\-* #,##0_-;_-* "-"??_-;_-@_-</c:formatCode>
                <c:ptCount val="15"/>
                <c:pt idx="0">
                  <c:v>298.02845406098055</c:v>
                </c:pt>
                <c:pt idx="1">
                  <c:v>308.75747840717582</c:v>
                </c:pt>
                <c:pt idx="2">
                  <c:v>319.87274762983424</c:v>
                </c:pt>
                <c:pt idx="3">
                  <c:v>331.38816654450824</c:v>
                </c:pt>
                <c:pt idx="4">
                  <c:v>343.31814054011056</c:v>
                </c:pt>
                <c:pt idx="5">
                  <c:v>355.67759359955448</c:v>
                </c:pt>
                <c:pt idx="6">
                  <c:v>368.48198696913846</c:v>
                </c:pt>
                <c:pt idx="7">
                  <c:v>381.74733850002747</c:v>
                </c:pt>
                <c:pt idx="8">
                  <c:v>395.49024268602847</c:v>
                </c:pt>
                <c:pt idx="9">
                  <c:v>409.72789142272546</c:v>
                </c:pt>
                <c:pt idx="10">
                  <c:v>424.47809551394363</c:v>
                </c:pt>
                <c:pt idx="11">
                  <c:v>439.75930695244557</c:v>
                </c:pt>
                <c:pt idx="12">
                  <c:v>455.59064200273366</c:v>
                </c:pt>
                <c:pt idx="13">
                  <c:v>471.99190511483209</c:v>
                </c:pt>
                <c:pt idx="14">
                  <c:v>488.983613698966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206-4289-8EB1-6F891B410557}"/>
            </c:ext>
          </c:extLst>
        </c:ser>
        <c:ser>
          <c:idx val="6"/>
          <c:order val="7"/>
          <c:tx>
            <c:strRef>
              <c:f>DADOS!$B$42</c:f>
              <c:strCache>
                <c:ptCount val="1"/>
                <c:pt idx="0">
                  <c:v>AT 51 a 100 kW 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DADOS!$F$77:$T$77</c:f>
              <c:numCache>
                <c:formatCode>_-* #,##0_-;\-* #,##0_-;_-* "-"??_-;_-@_-</c:formatCode>
                <c:ptCount val="15"/>
                <c:pt idx="0">
                  <c:v>908.33373448864586</c:v>
                </c:pt>
                <c:pt idx="1">
                  <c:v>941.03374893023715</c:v>
                </c:pt>
                <c:pt idx="2">
                  <c:v>974.91096389172571</c:v>
                </c:pt>
                <c:pt idx="3">
                  <c:v>1010.0077585918278</c:v>
                </c:pt>
                <c:pt idx="4">
                  <c:v>1046.3680379011334</c:v>
                </c:pt>
                <c:pt idx="5">
                  <c:v>1084.0372872655744</c:v>
                </c:pt>
                <c:pt idx="6">
                  <c:v>1123.062629607135</c:v>
                </c:pt>
                <c:pt idx="7">
                  <c:v>1163.4928842729921</c:v>
                </c:pt>
                <c:pt idx="8">
                  <c:v>1205.3786281068199</c:v>
                </c:pt>
                <c:pt idx="9">
                  <c:v>1248.7722587186654</c:v>
                </c:pt>
                <c:pt idx="10">
                  <c:v>1293.7280600325373</c:v>
                </c:pt>
                <c:pt idx="11">
                  <c:v>1340.3022701937086</c:v>
                </c:pt>
                <c:pt idx="12">
                  <c:v>1388.5531519206822</c:v>
                </c:pt>
                <c:pt idx="13">
                  <c:v>1438.5410653898268</c:v>
                </c:pt>
                <c:pt idx="14">
                  <c:v>1490.3285437438606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06-4289-8EB1-6F891B410557}"/>
            </c:ext>
          </c:extLst>
        </c:ser>
        <c:ser>
          <c:idx val="5"/>
          <c:order val="8"/>
          <c:tx>
            <c:strRef>
              <c:f>DADOS!$B$41</c:f>
              <c:strCache>
                <c:ptCount val="1"/>
                <c:pt idx="0">
                  <c:v>AT 101 a 200 kW 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DADOS!$F$76:$T$76</c:f>
              <c:numCache>
                <c:formatCode>_-* #,##0_-;\-* #,##0_-;_-* "-"??_-;_-@_-</c:formatCode>
                <c:ptCount val="15"/>
                <c:pt idx="0">
                  <c:v>1779.8591738542223</c:v>
                </c:pt>
                <c:pt idx="1">
                  <c:v>1843.9341041129742</c:v>
                </c:pt>
                <c:pt idx="2">
                  <c:v>1910.3157318610413</c:v>
                </c:pt>
                <c:pt idx="3">
                  <c:v>1979.0870982080387</c:v>
                </c:pt>
                <c:pt idx="4">
                  <c:v>2050.3342337435283</c:v>
                </c:pt>
                <c:pt idx="5">
                  <c:v>2124.1462661582955</c:v>
                </c:pt>
                <c:pt idx="6">
                  <c:v>2200.6155317399944</c:v>
                </c:pt>
                <c:pt idx="7">
                  <c:v>2279.837690882634</c:v>
                </c:pt>
                <c:pt idx="8">
                  <c:v>2361.9118477544089</c:v>
                </c:pt>
                <c:pt idx="9">
                  <c:v>2446.9406742735678</c:v>
                </c:pt>
                <c:pt idx="10">
                  <c:v>2535.0305385474157</c:v>
                </c:pt>
                <c:pt idx="11">
                  <c:v>2626.2916379351232</c:v>
                </c:pt>
                <c:pt idx="12">
                  <c:v>2720.8381369007875</c:v>
                </c:pt>
                <c:pt idx="13">
                  <c:v>2818.7883098292159</c:v>
                </c:pt>
                <c:pt idx="14">
                  <c:v>2920.2646889830676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206-4289-8EB1-6F891B410557}"/>
            </c:ext>
          </c:extLst>
        </c:ser>
        <c:ser>
          <c:idx val="4"/>
          <c:order val="9"/>
          <c:tx>
            <c:strRef>
              <c:f>DADOS!$B$40</c:f>
              <c:strCache>
                <c:ptCount val="1"/>
                <c:pt idx="0">
                  <c:v>AT 201 a 300 kW 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DADOS!$F$75:$T$75</c:f>
              <c:numCache>
                <c:formatCode>_-* #,##0_-;\-* #,##0_-;_-* "-"??_-;_-@_-</c:formatCode>
                <c:ptCount val="15"/>
                <c:pt idx="0">
                  <c:v>1652.8111874616927</c:v>
                </c:pt>
                <c:pt idx="1">
                  <c:v>1712.3123902103137</c:v>
                </c:pt>
                <c:pt idx="2">
                  <c:v>1773.9556362578849</c:v>
                </c:pt>
                <c:pt idx="3">
                  <c:v>1837.8180391631688</c:v>
                </c:pt>
                <c:pt idx="4">
                  <c:v>1903.979488573043</c:v>
                </c:pt>
                <c:pt idx="5">
                  <c:v>1972.5227501616725</c:v>
                </c:pt>
                <c:pt idx="6">
                  <c:v>2043.5335691674929</c:v>
                </c:pt>
                <c:pt idx="7">
                  <c:v>2117.1007776575225</c:v>
                </c:pt>
                <c:pt idx="8">
                  <c:v>2193.3164056531932</c:v>
                </c:pt>
                <c:pt idx="9">
                  <c:v>2272.2757962567084</c:v>
                </c:pt>
                <c:pt idx="10">
                  <c:v>2354.07772492195</c:v>
                </c:pt>
                <c:pt idx="11">
                  <c:v>2438.8245230191401</c:v>
                </c:pt>
                <c:pt idx="12">
                  <c:v>2526.6222058478293</c:v>
                </c:pt>
                <c:pt idx="13">
                  <c:v>2617.5806052583512</c:v>
                </c:pt>
                <c:pt idx="14">
                  <c:v>2711.8135070476519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06-4289-8EB1-6F891B410557}"/>
            </c:ext>
          </c:extLst>
        </c:ser>
        <c:ser>
          <c:idx val="3"/>
          <c:order val="10"/>
          <c:tx>
            <c:strRef>
              <c:f>DADOS!$B$39</c:f>
              <c:strCache>
                <c:ptCount val="1"/>
                <c:pt idx="0">
                  <c:v>AT 301 a 500 kW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DADOS!$F$74:$T$74</c:f>
              <c:numCache>
                <c:formatCode>_-* #,##0_-;\-* #,##0_-;_-* "-"??_-;_-@_-</c:formatCode>
                <c:ptCount val="15"/>
                <c:pt idx="0">
                  <c:v>919.02001371792403</c:v>
                </c:pt>
                <c:pt idx="1">
                  <c:v>952.10473421176926</c:v>
                </c:pt>
                <c:pt idx="2">
                  <c:v>986.38050464339301</c:v>
                </c:pt>
                <c:pt idx="3">
                  <c:v>1021.8902028105553</c:v>
                </c:pt>
                <c:pt idx="4">
                  <c:v>1058.6782501117352</c:v>
                </c:pt>
                <c:pt idx="5">
                  <c:v>1096.7906671157577</c:v>
                </c:pt>
                <c:pt idx="6">
                  <c:v>1136.275131131925</c:v>
                </c:pt>
                <c:pt idx="7">
                  <c:v>1177.1810358526743</c:v>
                </c:pt>
                <c:pt idx="8">
                  <c:v>1219.5595531433705</c:v>
                </c:pt>
                <c:pt idx="9">
                  <c:v>1263.4636970565321</c:v>
                </c:pt>
                <c:pt idx="10">
                  <c:v>1308.9483901505673</c:v>
                </c:pt>
                <c:pt idx="11">
                  <c:v>1356.0705321959877</c:v>
                </c:pt>
                <c:pt idx="12">
                  <c:v>1404.8890713550434</c:v>
                </c:pt>
                <c:pt idx="13">
                  <c:v>1455.465077923825</c:v>
                </c:pt>
                <c:pt idx="14">
                  <c:v>1507.8618207290826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06-4289-8EB1-6F891B410557}"/>
            </c:ext>
          </c:extLst>
        </c:ser>
        <c:ser>
          <c:idx val="2"/>
          <c:order val="11"/>
          <c:tx>
            <c:strRef>
              <c:f>DADOS!$B$38</c:f>
              <c:strCache>
                <c:ptCount val="1"/>
                <c:pt idx="0">
                  <c:v>AT 501 a 1.000 kW 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DADOS!$F$73:$T$73</c:f>
              <c:numCache>
                <c:formatCode>_-* #,##0_-;\-* #,##0_-;_-* "-"??_-;_-@_-</c:formatCode>
                <c:ptCount val="15"/>
                <c:pt idx="0">
                  <c:v>1657.5606448969274</c:v>
                </c:pt>
                <c:pt idx="1">
                  <c:v>1717.232828113217</c:v>
                </c:pt>
                <c:pt idx="2">
                  <c:v>1779.0532099252928</c:v>
                </c:pt>
                <c:pt idx="3">
                  <c:v>1843.0991254826033</c:v>
                </c:pt>
                <c:pt idx="4">
                  <c:v>1909.4506939999769</c:v>
                </c:pt>
                <c:pt idx="5">
                  <c:v>1978.190918983976</c:v>
                </c:pt>
                <c:pt idx="6">
                  <c:v>2049.4057920673995</c:v>
                </c:pt>
                <c:pt idx="7">
                  <c:v>2123.1844005818257</c:v>
                </c:pt>
                <c:pt idx="8">
                  <c:v>2199.6190390027714</c:v>
                </c:pt>
                <c:pt idx="9">
                  <c:v>2278.805324406871</c:v>
                </c:pt>
                <c:pt idx="10">
                  <c:v>2360.8423160855191</c:v>
                </c:pt>
                <c:pt idx="11">
                  <c:v>2445.8326394645978</c:v>
                </c:pt>
                <c:pt idx="12">
                  <c:v>2533.8826144853238</c:v>
                </c:pt>
                <c:pt idx="13">
                  <c:v>2625.1023886067951</c:v>
                </c:pt>
                <c:pt idx="14">
                  <c:v>2719.6060745966402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06-4289-8EB1-6F891B410557}"/>
            </c:ext>
          </c:extLst>
        </c:ser>
        <c:ser>
          <c:idx val="1"/>
          <c:order val="12"/>
          <c:tx>
            <c:strRef>
              <c:f>DADOS!$B$37</c:f>
              <c:strCache>
                <c:ptCount val="1"/>
                <c:pt idx="0">
                  <c:v>AT 1.001 a 1.500 kW 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DADOS!$F$72:$T$72</c:f>
              <c:numCache>
                <c:formatCode>_-* #,##0_-;\-* #,##0_-;_-* "-"??_-;_-@_-</c:formatCode>
                <c:ptCount val="15"/>
                <c:pt idx="0">
                  <c:v>755.16373220232515</c:v>
                </c:pt>
                <c:pt idx="1">
                  <c:v>782.34962656160883</c:v>
                </c:pt>
                <c:pt idx="2">
                  <c:v>810.51421311782667</c:v>
                </c:pt>
                <c:pt idx="3">
                  <c:v>839.6927247900685</c:v>
                </c:pt>
                <c:pt idx="4">
                  <c:v>869.92166288251099</c:v>
                </c:pt>
                <c:pt idx="5">
                  <c:v>901.23884274628142</c:v>
                </c:pt>
                <c:pt idx="6">
                  <c:v>933.68344108514748</c:v>
                </c:pt>
                <c:pt idx="7">
                  <c:v>967.2960449642128</c:v>
                </c:pt>
                <c:pt idx="8">
                  <c:v>1002.1187025829246</c:v>
                </c:pt>
                <c:pt idx="9">
                  <c:v>1038.1949758759099</c:v>
                </c:pt>
                <c:pt idx="10">
                  <c:v>1075.5699950074425</c:v>
                </c:pt>
                <c:pt idx="11">
                  <c:v>1114.2905148277105</c:v>
                </c:pt>
                <c:pt idx="12">
                  <c:v>1154.4049733615082</c:v>
                </c:pt>
                <c:pt idx="13">
                  <c:v>1195.9635524025225</c:v>
                </c:pt>
                <c:pt idx="14">
                  <c:v>1239.0182402890134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06-4289-8EB1-6F891B410557}"/>
            </c:ext>
          </c:extLst>
        </c:ser>
        <c:ser>
          <c:idx val="0"/>
          <c:order val="13"/>
          <c:tx>
            <c:strRef>
              <c:f>DADOS!$B$36</c:f>
              <c:strCache>
                <c:ptCount val="1"/>
                <c:pt idx="0">
                  <c:v>AT ≥ 1.501 kW 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DADOS!$F$71:$T$71</c:f>
              <c:numCache>
                <c:formatCode>_-* #,##0_-;\-* #,##0_-;_-* "-"??_-;_-@_-</c:formatCode>
                <c:ptCount val="15"/>
                <c:pt idx="0">
                  <c:v>2031.5804179216641</c:v>
                </c:pt>
                <c:pt idx="1">
                  <c:v>2104.717312966844</c:v>
                </c:pt>
                <c:pt idx="2">
                  <c:v>2180.4871362336507</c:v>
                </c:pt>
                <c:pt idx="3">
                  <c:v>2258.9846731380621</c:v>
                </c:pt>
                <c:pt idx="4">
                  <c:v>2340.3081213710325</c:v>
                </c:pt>
                <c:pt idx="5">
                  <c:v>2424.5592137403896</c:v>
                </c:pt>
                <c:pt idx="6">
                  <c:v>2511.8433454350438</c:v>
                </c:pt>
                <c:pt idx="7">
                  <c:v>2602.2697058707054</c:v>
                </c:pt>
                <c:pt idx="8">
                  <c:v>2695.9514152820511</c:v>
                </c:pt>
                <c:pt idx="9">
                  <c:v>2793.0056662322049</c:v>
                </c:pt>
                <c:pt idx="10">
                  <c:v>2893.5538702165645</c:v>
                </c:pt>
                <c:pt idx="11">
                  <c:v>2997.7218095443604</c:v>
                </c:pt>
                <c:pt idx="12">
                  <c:v>3105.6397946879579</c:v>
                </c:pt>
                <c:pt idx="13">
                  <c:v>3217.4428272967243</c:v>
                </c:pt>
                <c:pt idx="14">
                  <c:v>3333.2707690794064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6-4289-8EB1-6F891B410557}"/>
            </c:ext>
          </c:extLst>
        </c:ser>
        <c:overlap val="100"/>
        <c:axId val="89419136"/>
        <c:axId val="89441408"/>
      </c:barChart>
      <c:lineChart>
        <c:grouping val="standard"/>
        <c:ser>
          <c:idx val="12"/>
          <c:order val="14"/>
          <c:tx>
            <c:strRef>
              <c:f>DADOS!$B$63</c:f>
              <c:strCache>
                <c:ptCount val="1"/>
                <c:pt idx="0">
                  <c:v>(i) Legados com Itaipu e Eletrobras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DADOS!$F$63:$T$63</c:f>
              <c:numCache>
                <c:formatCode>_-* #,##0_-;\-* #,##0_-;_-* "-"??_-;_-@_-</c:formatCode>
                <c:ptCount val="15"/>
                <c:pt idx="0">
                  <c:v>49600</c:v>
                </c:pt>
                <c:pt idx="1">
                  <c:v>49000</c:v>
                </c:pt>
                <c:pt idx="2">
                  <c:v>48200</c:v>
                </c:pt>
                <c:pt idx="3">
                  <c:v>44700</c:v>
                </c:pt>
                <c:pt idx="4">
                  <c:v>43800</c:v>
                </c:pt>
                <c:pt idx="5">
                  <c:v>42900</c:v>
                </c:pt>
                <c:pt idx="6">
                  <c:v>42900</c:v>
                </c:pt>
                <c:pt idx="7">
                  <c:v>41600</c:v>
                </c:pt>
                <c:pt idx="8">
                  <c:v>41100</c:v>
                </c:pt>
                <c:pt idx="9">
                  <c:v>40700</c:v>
                </c:pt>
                <c:pt idx="10">
                  <c:v>40500</c:v>
                </c:pt>
                <c:pt idx="11">
                  <c:v>40200</c:v>
                </c:pt>
                <c:pt idx="12">
                  <c:v>40200</c:v>
                </c:pt>
                <c:pt idx="13">
                  <c:v>39000</c:v>
                </c:pt>
                <c:pt idx="14">
                  <c:v>37900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206-4289-8EB1-6F891B410557}"/>
            </c:ext>
          </c:extLst>
        </c:ser>
        <c:ser>
          <c:idx val="13"/>
          <c:order val="15"/>
          <c:tx>
            <c:strRef>
              <c:f>DADOS!$B$64</c:f>
              <c:strCache>
                <c:ptCount val="1"/>
                <c:pt idx="0">
                  <c:v>(ii) Legados com Itaipu e descotização Eletrobras (2025 a 2027)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DADOS!$F$64:$T$64</c:f>
              <c:numCache>
                <c:formatCode>_-* #,##0_-;\-* #,##0_-;_-* "-"??_-;_-@_-</c:formatCode>
                <c:ptCount val="15"/>
                <c:pt idx="0">
                  <c:v>49600</c:v>
                </c:pt>
                <c:pt idx="1">
                  <c:v>49000</c:v>
                </c:pt>
                <c:pt idx="2">
                  <c:v>48200</c:v>
                </c:pt>
                <c:pt idx="3">
                  <c:v>44700</c:v>
                </c:pt>
                <c:pt idx="4">
                  <c:v>41603.666666666664</c:v>
                </c:pt>
                <c:pt idx="5">
                  <c:v>38507.333333333336</c:v>
                </c:pt>
                <c:pt idx="6">
                  <c:v>36311</c:v>
                </c:pt>
                <c:pt idx="7">
                  <c:v>35011</c:v>
                </c:pt>
                <c:pt idx="8">
                  <c:v>34511</c:v>
                </c:pt>
                <c:pt idx="9">
                  <c:v>34111</c:v>
                </c:pt>
                <c:pt idx="10">
                  <c:v>33911</c:v>
                </c:pt>
                <c:pt idx="11">
                  <c:v>33611</c:v>
                </c:pt>
                <c:pt idx="12">
                  <c:v>33611</c:v>
                </c:pt>
                <c:pt idx="13">
                  <c:v>32411</c:v>
                </c:pt>
                <c:pt idx="14">
                  <c:v>31311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206-4289-8EB1-6F891B410557}"/>
            </c:ext>
          </c:extLst>
        </c:ser>
        <c:ser>
          <c:idx val="15"/>
          <c:order val="16"/>
          <c:tx>
            <c:strRef>
              <c:f>DADOS!$B$65</c:f>
              <c:strCache>
                <c:ptCount val="1"/>
                <c:pt idx="0">
                  <c:v>(iii) Legados com Eletrobras e descontratação Itaipu (2024 a 2027)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DADOS!$F$65:$T$65</c:f>
              <c:numCache>
                <c:formatCode>_-* #,##0_-;\-* #,##0_-;_-* "-"??_-;_-@_-</c:formatCode>
                <c:ptCount val="15"/>
                <c:pt idx="0">
                  <c:v>49600</c:v>
                </c:pt>
                <c:pt idx="1">
                  <c:v>49000</c:v>
                </c:pt>
                <c:pt idx="2">
                  <c:v>48200</c:v>
                </c:pt>
                <c:pt idx="3">
                  <c:v>43090.5</c:v>
                </c:pt>
                <c:pt idx="4">
                  <c:v>40581</c:v>
                </c:pt>
                <c:pt idx="5">
                  <c:v>38071.5</c:v>
                </c:pt>
                <c:pt idx="6">
                  <c:v>36462</c:v>
                </c:pt>
                <c:pt idx="7">
                  <c:v>35162</c:v>
                </c:pt>
                <c:pt idx="8">
                  <c:v>34662</c:v>
                </c:pt>
                <c:pt idx="9">
                  <c:v>34262</c:v>
                </c:pt>
                <c:pt idx="10">
                  <c:v>34062</c:v>
                </c:pt>
                <c:pt idx="11">
                  <c:v>33762</c:v>
                </c:pt>
                <c:pt idx="12">
                  <c:v>33762</c:v>
                </c:pt>
                <c:pt idx="13">
                  <c:v>32562</c:v>
                </c:pt>
                <c:pt idx="14">
                  <c:v>31462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206-4289-8EB1-6F891B410557}"/>
            </c:ext>
          </c:extLst>
        </c:ser>
        <c:ser>
          <c:idx val="16"/>
          <c:order val="17"/>
          <c:tx>
            <c:strRef>
              <c:f>DADOS!$B$66</c:f>
              <c:strCache>
                <c:ptCount val="1"/>
                <c:pt idx="0">
                  <c:v>(iv) Legados sem Itaipu e descotização Eletrobras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DADOS!$F$66:$T$66</c:f>
              <c:numCache>
                <c:formatCode>_-* #,##0_-;\-* #,##0_-;_-* "-"??_-;_-@_-</c:formatCode>
                <c:ptCount val="15"/>
                <c:pt idx="0">
                  <c:v>49600</c:v>
                </c:pt>
                <c:pt idx="1">
                  <c:v>49000</c:v>
                </c:pt>
                <c:pt idx="2">
                  <c:v>48200</c:v>
                </c:pt>
                <c:pt idx="3">
                  <c:v>43090.5</c:v>
                </c:pt>
                <c:pt idx="4">
                  <c:v>38384.666666666664</c:v>
                </c:pt>
                <c:pt idx="5">
                  <c:v>33678.833333333328</c:v>
                </c:pt>
                <c:pt idx="6">
                  <c:v>29873</c:v>
                </c:pt>
                <c:pt idx="7">
                  <c:v>28573</c:v>
                </c:pt>
                <c:pt idx="8">
                  <c:v>28073</c:v>
                </c:pt>
                <c:pt idx="9">
                  <c:v>27673</c:v>
                </c:pt>
                <c:pt idx="10">
                  <c:v>27473</c:v>
                </c:pt>
                <c:pt idx="11">
                  <c:v>27173</c:v>
                </c:pt>
                <c:pt idx="12">
                  <c:v>27173</c:v>
                </c:pt>
                <c:pt idx="13">
                  <c:v>25973</c:v>
                </c:pt>
                <c:pt idx="14">
                  <c:v>24873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206-4289-8EB1-6F891B410557}"/>
            </c:ext>
          </c:extLst>
        </c:ser>
        <c:marker val="1"/>
        <c:axId val="89444736"/>
        <c:axId val="89442944"/>
      </c:lineChart>
      <c:catAx>
        <c:axId val="894191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441408"/>
        <c:crosses val="autoZero"/>
        <c:auto val="1"/>
        <c:lblAlgn val="ctr"/>
        <c:lblOffset val="100"/>
      </c:catAx>
      <c:valAx>
        <c:axId val="89441408"/>
        <c:scaling>
          <c:orientation val="minMax"/>
          <c:max val="8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419136"/>
        <c:crosses val="autoZero"/>
        <c:crossBetween val="between"/>
      </c:valAx>
      <c:valAx>
        <c:axId val="89442944"/>
        <c:scaling>
          <c:orientation val="minMax"/>
          <c:max val="80000"/>
        </c:scaling>
        <c:axPos val="r"/>
        <c:numFmt formatCode="_-* #,##0_-;\-* #,##0_-;_-* &quot;-&quot;??_-;_-@_-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444736"/>
        <c:crosses val="max"/>
        <c:crossBetween val="between"/>
      </c:valAx>
      <c:catAx>
        <c:axId val="89444736"/>
        <c:scaling>
          <c:orientation val="minMax"/>
        </c:scaling>
        <c:delete val="1"/>
        <c:axPos val="b"/>
        <c:tickLblPos val="nextTo"/>
        <c:crossAx val="8944294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773339006611243E-2"/>
          <c:y val="0.57784479546482848"/>
          <c:w val="0.84818295865312021"/>
          <c:h val="0.3566660234743033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 b="1"/>
              <a:t>Carga ACR</a:t>
            </a:r>
          </a:p>
        </c:rich>
      </c:tx>
      <c:layout>
        <c:manualLayout>
          <c:xMode val="edge"/>
          <c:yMode val="edge"/>
          <c:x val="0.45148290379255107"/>
          <c:y val="1.6900433822159541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stacked"/>
        <c:ser>
          <c:idx val="14"/>
          <c:order val="0"/>
          <c:tx>
            <c:v>Perdas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DADOS!$F$52:$T$52</c:f>
              <c:numCache>
                <c:formatCode>_-* #,##0_-;\-* #,##0_-;_-* "-"??_-;_-@_-</c:formatCode>
                <c:ptCount val="15"/>
                <c:pt idx="0">
                  <c:v>6621.8526765600009</c:v>
                </c:pt>
                <c:pt idx="1">
                  <c:v>6860.2393729161604</c:v>
                </c:pt>
                <c:pt idx="2">
                  <c:v>7107.2079903411422</c:v>
                </c:pt>
                <c:pt idx="3">
                  <c:v>7363.0674779934243</c:v>
                </c:pt>
                <c:pt idx="4">
                  <c:v>7628.1379072011869</c:v>
                </c:pt>
                <c:pt idx="5">
                  <c:v>7902.7508718604304</c:v>
                </c:pt>
                <c:pt idx="6">
                  <c:v>8187.2499032474061</c:v>
                </c:pt>
                <c:pt idx="7">
                  <c:v>8481.9908997643124</c:v>
                </c:pt>
                <c:pt idx="8">
                  <c:v>8787.3425721558287</c:v>
                </c:pt>
                <c:pt idx="9">
                  <c:v>9103.6869047534401</c:v>
                </c:pt>
                <c:pt idx="10">
                  <c:v>9431.4196333245636</c:v>
                </c:pt>
                <c:pt idx="11">
                  <c:v>9770.9507401242481</c:v>
                </c:pt>
                <c:pt idx="12">
                  <c:v>10122.704966768721</c:v>
                </c:pt>
                <c:pt idx="13">
                  <c:v>10487.122345572394</c:v>
                </c:pt>
                <c:pt idx="14">
                  <c:v>10864.658750013001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206-4289-8EB1-6F891B410557}"/>
            </c:ext>
          </c:extLst>
        </c:ser>
        <c:ser>
          <c:idx val="11"/>
          <c:order val="1"/>
          <c:tx>
            <c:strRef>
              <c:f>DADOS!$B$47</c:f>
              <c:strCache>
                <c:ptCount val="1"/>
                <c:pt idx="0">
                  <c:v>B1 ≤ 220 kWh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DADOS!$F$47:$T$47</c:f>
              <c:numCache>
                <c:formatCode>_-* #,##0_-;\-* #,##0_-;_-* "-"??_-;_-@_-</c:formatCode>
                <c:ptCount val="15"/>
                <c:pt idx="0">
                  <c:v>10217.582771853704</c:v>
                </c:pt>
                <c:pt idx="1">
                  <c:v>10585.415751640438</c:v>
                </c:pt>
                <c:pt idx="2">
                  <c:v>10966.490718699493</c:v>
                </c:pt>
                <c:pt idx="3">
                  <c:v>11361.284384572675</c:v>
                </c:pt>
                <c:pt idx="4">
                  <c:v>11770.290622417291</c:v>
                </c:pt>
                <c:pt idx="5">
                  <c:v>12194.021084824313</c:v>
                </c:pt>
                <c:pt idx="6">
                  <c:v>12633.005843877989</c:v>
                </c:pt>
                <c:pt idx="7">
                  <c:v>13087.794054257596</c:v>
                </c:pt>
                <c:pt idx="8">
                  <c:v>13558.95464021087</c:v>
                </c:pt>
                <c:pt idx="9">
                  <c:v>14047.077007258462</c:v>
                </c:pt>
                <c:pt idx="10">
                  <c:v>14552.771779519768</c:v>
                </c:pt>
                <c:pt idx="11">
                  <c:v>15076.67156358248</c:v>
                </c:pt>
                <c:pt idx="12">
                  <c:v>15619.43173987145</c:v>
                </c:pt>
                <c:pt idx="13">
                  <c:v>16181.731282506822</c:v>
                </c:pt>
                <c:pt idx="14">
                  <c:v>16764.273608677067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206-4289-8EB1-6F891B410557}"/>
            </c:ext>
          </c:extLst>
        </c:ser>
        <c:ser>
          <c:idx val="10"/>
          <c:order val="2"/>
          <c:tx>
            <c:strRef>
              <c:f>DADOS!$B$46</c:f>
              <c:strCache>
                <c:ptCount val="1"/>
                <c:pt idx="0">
                  <c:v>B1 221 a 500 kWh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DADOS!$F$46:$T$46</c:f>
              <c:numCache>
                <c:formatCode>_-* #,##0_-;\-* #,##0_-;_-* "-"??_-;_-@_-</c:formatCode>
                <c:ptCount val="15"/>
                <c:pt idx="0">
                  <c:v>7032.9465758068254</c:v>
                </c:pt>
                <c:pt idx="1">
                  <c:v>7286.1326525358718</c:v>
                </c:pt>
                <c:pt idx="2">
                  <c:v>7548.4334280271632</c:v>
                </c:pt>
                <c:pt idx="3">
                  <c:v>7820.1770314361411</c:v>
                </c:pt>
                <c:pt idx="4">
                  <c:v>8101.703404567842</c:v>
                </c:pt>
                <c:pt idx="5">
                  <c:v>8393.3647271322843</c:v>
                </c:pt>
                <c:pt idx="6">
                  <c:v>8695.5258573090468</c:v>
                </c:pt>
                <c:pt idx="7">
                  <c:v>9008.5647881721725</c:v>
                </c:pt>
                <c:pt idx="8">
                  <c:v>9332.8731205463719</c:v>
                </c:pt>
                <c:pt idx="9">
                  <c:v>9668.8565528860418</c:v>
                </c:pt>
                <c:pt idx="10">
                  <c:v>10016.93538878994</c:v>
                </c:pt>
                <c:pt idx="11">
                  <c:v>10377.545062786377</c:v>
                </c:pt>
                <c:pt idx="12">
                  <c:v>10751.136685046687</c:v>
                </c:pt>
                <c:pt idx="13">
                  <c:v>11138.177605708368</c:v>
                </c:pt>
                <c:pt idx="14">
                  <c:v>11539.15199951387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206-4289-8EB1-6F891B410557}"/>
            </c:ext>
          </c:extLst>
        </c:ser>
        <c:ser>
          <c:idx val="9"/>
          <c:order val="3"/>
          <c:tx>
            <c:strRef>
              <c:f>DADOS!$B$45</c:f>
              <c:strCache>
                <c:ptCount val="1"/>
                <c:pt idx="0">
                  <c:v>B1 501 a 1.000 kWh + (B2 + B3 ≤ 1.000)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DADOS!$F$45:$T$45</c:f>
              <c:numCache>
                <c:formatCode>_-* #,##0_-;\-* #,##0_-;_-* "-"??_-;_-@_-</c:formatCode>
                <c:ptCount val="15"/>
                <c:pt idx="0">
                  <c:v>5588.1116297196231</c:v>
                </c:pt>
                <c:pt idx="1">
                  <c:v>5789.2836483895298</c:v>
                </c:pt>
                <c:pt idx="2">
                  <c:v>5997.6978597315529</c:v>
                </c:pt>
                <c:pt idx="3">
                  <c:v>6213.6149826818892</c:v>
                </c:pt>
                <c:pt idx="4">
                  <c:v>6437.3051220584375</c:v>
                </c:pt>
                <c:pt idx="5">
                  <c:v>6669.0481064525411</c:v>
                </c:pt>
                <c:pt idx="6">
                  <c:v>6909.1338382848326</c:v>
                </c:pt>
                <c:pt idx="7">
                  <c:v>7157.8626564630868</c:v>
                </c:pt>
                <c:pt idx="8">
                  <c:v>7415.5457120957581</c:v>
                </c:pt>
                <c:pt idx="9">
                  <c:v>7682.5053577312055</c:v>
                </c:pt>
                <c:pt idx="10">
                  <c:v>7959.0755506095293</c:v>
                </c:pt>
                <c:pt idx="11">
                  <c:v>8245.6022704314728</c:v>
                </c:pt>
                <c:pt idx="12">
                  <c:v>8542.4439521670065</c:v>
                </c:pt>
                <c:pt idx="13">
                  <c:v>8849.9719344450186</c:v>
                </c:pt>
                <c:pt idx="14">
                  <c:v>9168.5709240850392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206-4289-8EB1-6F891B410557}"/>
            </c:ext>
          </c:extLst>
        </c:ser>
        <c:ser>
          <c:idx val="8"/>
          <c:order val="4"/>
          <c:tx>
            <c:strRef>
              <c:f>DADOS!$B$44</c:f>
              <c:strCache>
                <c:ptCount val="1"/>
                <c:pt idx="0">
                  <c:v>BT ≥ 1.001 kWh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DADOS!$F$44:$T$44</c:f>
              <c:numCache>
                <c:formatCode>_-* #,##0_-;\-* #,##0_-;_-* "-"??_-;_-@_-</c:formatCode>
                <c:ptCount val="15"/>
                <c:pt idx="0">
                  <c:v>6974.2032864762905</c:v>
                </c:pt>
                <c:pt idx="1">
                  <c:v>7225.274604789437</c:v>
                </c:pt>
                <c:pt idx="2">
                  <c:v>7485.3844905618571</c:v>
                </c:pt>
                <c:pt idx="3">
                  <c:v>7754.8583322220838</c:v>
                </c:pt>
                <c:pt idx="4">
                  <c:v>8034.0332321820788</c:v>
                </c:pt>
                <c:pt idx="5">
                  <c:v>8323.2584285406338</c:v>
                </c:pt>
                <c:pt idx="6">
                  <c:v>8622.8957319680976</c:v>
                </c:pt>
                <c:pt idx="7">
                  <c:v>8933.3199783189502</c:v>
                </c:pt>
                <c:pt idx="8">
                  <c:v>9254.9194975384326</c:v>
                </c:pt>
                <c:pt idx="9">
                  <c:v>9588.0965994498165</c:v>
                </c:pt>
                <c:pt idx="10">
                  <c:v>9933.2680770300103</c:v>
                </c:pt>
                <c:pt idx="11">
                  <c:v>10290.865727803091</c:v>
                </c:pt>
                <c:pt idx="12">
                  <c:v>10661.336894004004</c:v>
                </c:pt>
                <c:pt idx="13">
                  <c:v>11045.145022188148</c:v>
                </c:pt>
                <c:pt idx="14">
                  <c:v>11442.770242986922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206-4289-8EB1-6F891B410557}"/>
            </c:ext>
          </c:extLst>
        </c:ser>
        <c:ser>
          <c:idx val="7"/>
          <c:order val="5"/>
          <c:tx>
            <c:strRef>
              <c:f>DADOS!$B$43</c:f>
              <c:strCache>
                <c:ptCount val="1"/>
                <c:pt idx="0">
                  <c:v>AT ≤ 50 kW 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DADOS!$F$43:$T$43</c:f>
              <c:numCache>
                <c:formatCode>_-* #,##0_-;\-* #,##0_-;_-* "-"??_-;_-@_-</c:formatCode>
                <c:ptCount val="15"/>
                <c:pt idx="0">
                  <c:v>313.71416216945323</c:v>
                </c:pt>
                <c:pt idx="1">
                  <c:v>325.00787200755354</c:v>
                </c:pt>
                <c:pt idx="2">
                  <c:v>336.7081553998255</c:v>
                </c:pt>
                <c:pt idx="3">
                  <c:v>348.82964899421921</c:v>
                </c:pt>
                <c:pt idx="4">
                  <c:v>361.38751635801111</c:v>
                </c:pt>
                <c:pt idx="5">
                  <c:v>374.3974669468995</c:v>
                </c:pt>
                <c:pt idx="6">
                  <c:v>387.87577575698788</c:v>
                </c:pt>
                <c:pt idx="7">
                  <c:v>401.83930368423944</c:v>
                </c:pt>
                <c:pt idx="8">
                  <c:v>416.30551861687206</c:v>
                </c:pt>
                <c:pt idx="9">
                  <c:v>431.29251728707948</c:v>
                </c:pt>
                <c:pt idx="10">
                  <c:v>446.81904790941434</c:v>
                </c:pt>
                <c:pt idx="11">
                  <c:v>462.90453363415327</c:v>
                </c:pt>
                <c:pt idx="12">
                  <c:v>479.56909684498282</c:v>
                </c:pt>
                <c:pt idx="13">
                  <c:v>496.83358433140222</c:v>
                </c:pt>
                <c:pt idx="14">
                  <c:v>514.71959336733266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206-4289-8EB1-6F891B410557}"/>
            </c:ext>
          </c:extLst>
        </c:ser>
        <c:ser>
          <c:idx val="6"/>
          <c:order val="6"/>
          <c:tx>
            <c:strRef>
              <c:f>DADOS!$B$42</c:f>
              <c:strCache>
                <c:ptCount val="1"/>
                <c:pt idx="0">
                  <c:v>AT 51 a 100 kW 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DADOS!$F$42:$T$42</c:f>
              <c:numCache>
                <c:formatCode>_-* #,##0_-;\-* #,##0_-;_-* "-"??_-;_-@_-</c:formatCode>
                <c:ptCount val="15"/>
                <c:pt idx="0">
                  <c:v>956.14077314594306</c:v>
                </c:pt>
                <c:pt idx="1">
                  <c:v>990.56184097919709</c:v>
                </c:pt>
                <c:pt idx="2">
                  <c:v>1026.2220672544481</c:v>
                </c:pt>
                <c:pt idx="3">
                  <c:v>1063.1660616756083</c:v>
                </c:pt>
                <c:pt idx="4">
                  <c:v>1101.4400398959301</c:v>
                </c:pt>
                <c:pt idx="5">
                  <c:v>1141.0918813321837</c:v>
                </c:pt>
                <c:pt idx="6">
                  <c:v>1182.1711890601423</c:v>
                </c:pt>
                <c:pt idx="7">
                  <c:v>1224.7293518663075</c:v>
                </c:pt>
                <c:pt idx="8">
                  <c:v>1268.8196085334946</c:v>
                </c:pt>
                <c:pt idx="9">
                  <c:v>1314.4971144407004</c:v>
                </c:pt>
                <c:pt idx="10">
                  <c:v>1361.8190105605656</c:v>
                </c:pt>
                <c:pt idx="11">
                  <c:v>1410.844494940746</c:v>
                </c:pt>
                <c:pt idx="12">
                  <c:v>1461.634896758613</c:v>
                </c:pt>
                <c:pt idx="13">
                  <c:v>1514.2537530419231</c:v>
                </c:pt>
                <c:pt idx="14">
                  <c:v>1568.7668881514323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06-4289-8EB1-6F891B410557}"/>
            </c:ext>
          </c:extLst>
        </c:ser>
        <c:ser>
          <c:idx val="5"/>
          <c:order val="7"/>
          <c:tx>
            <c:strRef>
              <c:f>DADOS!$B$41</c:f>
              <c:strCache>
                <c:ptCount val="1"/>
                <c:pt idx="0">
                  <c:v>AT 101 a 200 kW 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DADOS!$F$41:$T$41</c:f>
              <c:numCache>
                <c:formatCode>_-* #,##0_-;\-* #,##0_-;_-* "-"??_-;_-@_-</c:formatCode>
                <c:ptCount val="15"/>
                <c:pt idx="0">
                  <c:v>1873.5359724781288</c:v>
                </c:pt>
                <c:pt idx="1">
                  <c:v>1940.9832674873414</c:v>
                </c:pt>
                <c:pt idx="2">
                  <c:v>2010.8586651168857</c:v>
                </c:pt>
                <c:pt idx="3">
                  <c:v>2083.2495770610935</c:v>
                </c:pt>
                <c:pt idx="4">
                  <c:v>2158.2465618352931</c:v>
                </c:pt>
                <c:pt idx="5">
                  <c:v>2235.9434380613638</c:v>
                </c:pt>
                <c:pt idx="6">
                  <c:v>2316.437401831573</c:v>
                </c:pt>
                <c:pt idx="7">
                  <c:v>2399.8291482975096</c:v>
                </c:pt>
                <c:pt idx="8">
                  <c:v>2486.22299763622</c:v>
                </c:pt>
                <c:pt idx="9">
                  <c:v>2575.7270255511239</c:v>
                </c:pt>
                <c:pt idx="10">
                  <c:v>2668.4531984709643</c:v>
                </c:pt>
                <c:pt idx="11">
                  <c:v>2764.5175136159191</c:v>
                </c:pt>
                <c:pt idx="12">
                  <c:v>2864.0401441060922</c:v>
                </c:pt>
                <c:pt idx="13">
                  <c:v>2967.1455892939116</c:v>
                </c:pt>
                <c:pt idx="14">
                  <c:v>3073.9628305084925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206-4289-8EB1-6F891B410557}"/>
            </c:ext>
          </c:extLst>
        </c:ser>
        <c:ser>
          <c:idx val="4"/>
          <c:order val="8"/>
          <c:tx>
            <c:strRef>
              <c:f>DADOS!$B$40</c:f>
              <c:strCache>
                <c:ptCount val="1"/>
                <c:pt idx="0">
                  <c:v>AT 201 a 300 kW 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DADOS!$F$40:$T$40</c:f>
              <c:numCache>
                <c:formatCode>_-* #,##0_-;\-* #,##0_-;_-* "-"??_-;_-@_-</c:formatCode>
                <c:ptCount val="15"/>
                <c:pt idx="0">
                  <c:v>1739.8012499596766</c:v>
                </c:pt>
                <c:pt idx="1">
                  <c:v>1802.4340949582249</c:v>
                </c:pt>
                <c:pt idx="2">
                  <c:v>1867.321722376721</c:v>
                </c:pt>
                <c:pt idx="3">
                  <c:v>1934.5453043822831</c:v>
                </c:pt>
                <c:pt idx="4">
                  <c:v>2004.1889353400454</c:v>
                </c:pt>
                <c:pt idx="5">
                  <c:v>2076.3397370122871</c:v>
                </c:pt>
                <c:pt idx="6">
                  <c:v>2151.0879675447295</c:v>
                </c:pt>
                <c:pt idx="7">
                  <c:v>2228.5271343763397</c:v>
                </c:pt>
                <c:pt idx="8">
                  <c:v>2308.7541112138879</c:v>
                </c:pt>
                <c:pt idx="9">
                  <c:v>2391.869259217588</c:v>
                </c:pt>
                <c:pt idx="10">
                  <c:v>2477.9765525494213</c:v>
                </c:pt>
                <c:pt idx="11">
                  <c:v>2567.1837084412005</c:v>
                </c:pt>
                <c:pt idx="12">
                  <c:v>2659.6023219450835</c:v>
                </c:pt>
                <c:pt idx="13">
                  <c:v>2755.3480055351065</c:v>
                </c:pt>
                <c:pt idx="14">
                  <c:v>2854.5405337343705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06-4289-8EB1-6F891B410557}"/>
            </c:ext>
          </c:extLst>
        </c:ser>
        <c:ser>
          <c:idx val="3"/>
          <c:order val="9"/>
          <c:tx>
            <c:strRef>
              <c:f>DADOS!$B$39</c:f>
              <c:strCache>
                <c:ptCount val="1"/>
                <c:pt idx="0">
                  <c:v>AT 301 a 500 kW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DADOS!$F$39:$T$39</c:f>
              <c:numCache>
                <c:formatCode>_-* #,##0_-;\-* #,##0_-;_-* "-"??_-;_-@_-</c:formatCode>
                <c:ptCount val="15"/>
                <c:pt idx="0">
                  <c:v>967.38948812413059</c:v>
                </c:pt>
                <c:pt idx="1">
                  <c:v>1002.2155096965993</c:v>
                </c:pt>
                <c:pt idx="2">
                  <c:v>1038.2952680456769</c:v>
                </c:pt>
                <c:pt idx="3">
                  <c:v>1075.6738976953213</c:v>
                </c:pt>
                <c:pt idx="4">
                  <c:v>1114.398158012353</c:v>
                </c:pt>
                <c:pt idx="5">
                  <c:v>1154.5164917007976</c:v>
                </c:pt>
                <c:pt idx="6">
                  <c:v>1196.0790854020263</c:v>
                </c:pt>
                <c:pt idx="7">
                  <c:v>1239.1379324764994</c:v>
                </c:pt>
                <c:pt idx="8">
                  <c:v>1283.7468980456533</c:v>
                </c:pt>
                <c:pt idx="9">
                  <c:v>1329.9617863752969</c:v>
                </c:pt>
                <c:pt idx="10">
                  <c:v>1377.8404106848077</c:v>
                </c:pt>
                <c:pt idx="11">
                  <c:v>1427.4426654694607</c:v>
                </c:pt>
                <c:pt idx="12">
                  <c:v>1478.8306014263615</c:v>
                </c:pt>
                <c:pt idx="13">
                  <c:v>1532.0685030777106</c:v>
                </c:pt>
                <c:pt idx="14">
                  <c:v>1587.2229691885082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06-4289-8EB1-6F891B410557}"/>
            </c:ext>
          </c:extLst>
        </c:ser>
        <c:ser>
          <c:idx val="2"/>
          <c:order val="10"/>
          <c:tx>
            <c:strRef>
              <c:f>DADOS!$B$38</c:f>
              <c:strCache>
                <c:ptCount val="1"/>
                <c:pt idx="0">
                  <c:v>AT 501 a 1.000 kW 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DADOS!$F$38:$T$38</c:f>
              <c:numCache>
                <c:formatCode>_-* #,##0_-;\-* #,##0_-;_-* "-"??_-;_-@_-</c:formatCode>
                <c:ptCount val="15"/>
                <c:pt idx="0">
                  <c:v>1744.8006788388711</c:v>
                </c:pt>
                <c:pt idx="1">
                  <c:v>1807.6135032770705</c:v>
                </c:pt>
                <c:pt idx="2">
                  <c:v>1872.6875893950451</c:v>
                </c:pt>
                <c:pt idx="3">
                  <c:v>1940.1043426132667</c:v>
                </c:pt>
                <c:pt idx="4">
                  <c:v>2009.9480989473443</c:v>
                </c:pt>
                <c:pt idx="5">
                  <c:v>2082.3062305094486</c:v>
                </c:pt>
                <c:pt idx="6">
                  <c:v>2157.2692548077889</c:v>
                </c:pt>
                <c:pt idx="7">
                  <c:v>2234.9309479808694</c:v>
                </c:pt>
                <c:pt idx="8">
                  <c:v>2315.3884621081806</c:v>
                </c:pt>
                <c:pt idx="9">
                  <c:v>2398.7424467440751</c:v>
                </c:pt>
                <c:pt idx="10">
                  <c:v>2485.0971748268621</c:v>
                </c:pt>
                <c:pt idx="11">
                  <c:v>2574.5606731206294</c:v>
                </c:pt>
                <c:pt idx="12">
                  <c:v>2667.2448573529723</c:v>
                </c:pt>
                <c:pt idx="13">
                  <c:v>2763.2656722176794</c:v>
                </c:pt>
                <c:pt idx="14">
                  <c:v>2862.7432364175161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06-4289-8EB1-6F891B410557}"/>
            </c:ext>
          </c:extLst>
        </c:ser>
        <c:ser>
          <c:idx val="1"/>
          <c:order val="11"/>
          <c:tx>
            <c:strRef>
              <c:f>DADOS!$B$37</c:f>
              <c:strCache>
                <c:ptCount val="1"/>
                <c:pt idx="0">
                  <c:v>AT 1.001 a 1.500 kW 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DADOS!$F$37:$T$37</c:f>
              <c:numCache>
                <c:formatCode>_-* #,##0_-;\-* #,##0_-;_-* "-"??_-;_-@_-</c:formatCode>
                <c:ptCount val="15"/>
                <c:pt idx="0">
                  <c:v>794.90919179192122</c:v>
                </c:pt>
                <c:pt idx="1">
                  <c:v>823.52592269643037</c:v>
                </c:pt>
                <c:pt idx="2">
                  <c:v>853.17285591350185</c:v>
                </c:pt>
                <c:pt idx="3">
                  <c:v>883.88707872638793</c:v>
                </c:pt>
                <c:pt idx="4">
                  <c:v>915.70701356053792</c:v>
                </c:pt>
                <c:pt idx="5">
                  <c:v>948.6724660487173</c:v>
                </c:pt>
                <c:pt idx="6">
                  <c:v>982.8246748264711</c:v>
                </c:pt>
                <c:pt idx="7">
                  <c:v>1018.2063631202241</c:v>
                </c:pt>
                <c:pt idx="8">
                  <c:v>1054.8617921925522</c:v>
                </c:pt>
                <c:pt idx="9">
                  <c:v>1092.8368167114841</c:v>
                </c:pt>
                <c:pt idx="10">
                  <c:v>1132.1789421130975</c:v>
                </c:pt>
                <c:pt idx="11">
                  <c:v>1172.9373840291689</c:v>
                </c:pt>
                <c:pt idx="12">
                  <c:v>1215.1631298542191</c:v>
                </c:pt>
                <c:pt idx="13">
                  <c:v>1258.9090025289711</c:v>
                </c:pt>
                <c:pt idx="14">
                  <c:v>1304.2297266200142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06-4289-8EB1-6F891B410557}"/>
            </c:ext>
          </c:extLst>
        </c:ser>
        <c:ser>
          <c:idx val="0"/>
          <c:order val="12"/>
          <c:tx>
            <c:strRef>
              <c:f>DADOS!$B$36</c:f>
              <c:strCache>
                <c:ptCount val="1"/>
                <c:pt idx="0">
                  <c:v>AT ≥ 1.501 kW 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strRef>
              <c:f>DADOS!$F$2:$T$2</c:f>
              <c:strCach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strCache>
            </c:strRef>
          </c:cat>
          <c:val>
            <c:numRef>
              <c:f>DADOS!$F$36:$T$36</c:f>
              <c:numCache>
                <c:formatCode>_-* #,##0_-;\-* #,##0_-;_-* "-"??_-;_-@_-</c:formatCode>
                <c:ptCount val="15"/>
                <c:pt idx="0">
                  <c:v>2138.505703075436</c:v>
                </c:pt>
                <c:pt idx="1">
                  <c:v>2215.4919083861519</c:v>
                </c:pt>
                <c:pt idx="2">
                  <c:v>2295.2496170880536</c:v>
                </c:pt>
                <c:pt idx="3">
                  <c:v>2377.8786033032234</c:v>
                </c:pt>
                <c:pt idx="4">
                  <c:v>2463.4822330221396</c:v>
                </c:pt>
                <c:pt idx="5">
                  <c:v>2552.1675934109367</c:v>
                </c:pt>
                <c:pt idx="6">
                  <c:v>2644.0456267737304</c:v>
                </c:pt>
                <c:pt idx="7">
                  <c:v>2739.2312693375848</c:v>
                </c:pt>
                <c:pt idx="8">
                  <c:v>2837.843595033738</c:v>
                </c:pt>
                <c:pt idx="9">
                  <c:v>2940.0059644549528</c:v>
                </c:pt>
                <c:pt idx="10">
                  <c:v>3045.8461791753311</c:v>
                </c:pt>
                <c:pt idx="11">
                  <c:v>3155.496641625643</c:v>
                </c:pt>
                <c:pt idx="12">
                  <c:v>3269.0945207241662</c:v>
                </c:pt>
                <c:pt idx="13">
                  <c:v>3386.7819234702361</c:v>
                </c:pt>
                <c:pt idx="14">
                  <c:v>3508.7060727151647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6-4289-8EB1-6F891B410557}"/>
            </c:ext>
          </c:extLst>
        </c:ser>
        <c:overlap val="100"/>
        <c:axId val="89757184"/>
        <c:axId val="89758720"/>
      </c:barChart>
      <c:catAx>
        <c:axId val="89757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758720"/>
        <c:crosses val="autoZero"/>
        <c:auto val="1"/>
        <c:lblAlgn val="ctr"/>
        <c:lblOffset val="100"/>
      </c:catAx>
      <c:valAx>
        <c:axId val="89758720"/>
        <c:scaling>
          <c:orientation val="minMax"/>
          <c:max val="8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75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57265647231424E-2"/>
          <c:y val="0.80388809783621218"/>
          <c:w val="0.89861944940879412"/>
          <c:h val="0.18343657679716846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2400"/>
              <a:t>Composição Final</a:t>
            </a:r>
          </a:p>
          <a:p>
            <a:pPr>
              <a:defRPr/>
            </a:pPr>
            <a:r>
              <a:rPr lang="pt-BR" sz="1800"/>
              <a:t>(após migrações)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742289597545069"/>
                  <c:y val="-0.1962530091882824"/>
                </c:manualLayout>
              </c:layout>
              <c:spPr/>
              <c:txPr>
                <a:bodyPr/>
                <a:lstStyle/>
                <a:p>
                  <a:pPr>
                    <a:defRPr sz="24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Val val="1"/>
              <c:showCatName val="1"/>
              <c:separator>
</c:separator>
            </c:dLbl>
            <c:dLbl>
              <c:idx val="1"/>
              <c:layout>
                <c:manualLayout>
                  <c:x val="0.18276267909455055"/>
                  <c:y val="-0.11577056027581829"/>
                </c:manualLayout>
              </c:layout>
              <c:showVal val="1"/>
              <c:showCatName val="1"/>
              <c:separator>
</c:separator>
            </c:dLbl>
            <c:dLbl>
              <c:idx val="2"/>
              <c:layout>
                <c:manualLayout>
                  <c:x val="0.1361011759625155"/>
                  <c:y val="0.13899861405052474"/>
                </c:manualLayout>
              </c:layout>
              <c:showVal val="1"/>
              <c:showCatName val="1"/>
              <c:separator>
</c:separator>
            </c:dLbl>
            <c:txPr>
              <a:bodyPr/>
              <a:lstStyle/>
              <a:p>
                <a:pPr>
                  <a:defRPr sz="2400" b="1"/>
                </a:pPr>
                <a:endParaRPr lang="pt-BR"/>
              </a:p>
            </c:txPr>
            <c:showVal val="1"/>
            <c:showCatName val="1"/>
            <c:separator>
</c:separator>
            <c:showLeaderLines val="1"/>
          </c:dLbls>
          <c:cat>
            <c:strRef>
              <c:f>DADOS!$B$93:$B$95</c:f>
              <c:strCache>
                <c:ptCount val="3"/>
                <c:pt idx="0">
                  <c:v>ACL</c:v>
                </c:pt>
                <c:pt idx="1">
                  <c:v>ACR</c:v>
                </c:pt>
                <c:pt idx="2">
                  <c:v>Perdas (D)</c:v>
                </c:pt>
              </c:strCache>
            </c:strRef>
          </c:cat>
          <c:val>
            <c:numRef>
              <c:f>DADOS!$D$93:$D$95</c:f>
              <c:numCache>
                <c:formatCode>0%</c:formatCode>
                <c:ptCount val="3"/>
                <c:pt idx="0">
                  <c:v>0.63191974475665857</c:v>
                </c:pt>
                <c:pt idx="1">
                  <c:v>0.22708025524334155</c:v>
                </c:pt>
                <c:pt idx="2">
                  <c:v>0.14099999999999999</c:v>
                </c:pt>
              </c:numCache>
            </c:numRef>
          </c:val>
        </c:ser>
        <c:dLbls>
          <c:showVal val="1"/>
        </c:dLbls>
      </c:pie3DChart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04" y="-5521"/>
    <xdr:ext cx="9649918" cy="601168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9918" cy="601168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" y="0"/>
    <xdr:ext cx="9649918" cy="601168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9918" cy="6011680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EB0213CF-736E-4F8A-BCC9-75F9E095B5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1974" cy="600743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96"/>
  <sheetViews>
    <sheetView workbookViewId="0">
      <pane xSplit="1" ySplit="22" topLeftCell="B23" activePane="bottomRight" state="frozen"/>
      <selection pane="topRight" activeCell="B1" sqref="B1"/>
      <selection pane="bottomLeft" activeCell="A23" sqref="A23"/>
      <selection pane="bottomRight" activeCell="F92" sqref="F92"/>
    </sheetView>
  </sheetViews>
  <sheetFormatPr defaultRowHeight="15"/>
  <cols>
    <col min="2" max="2" width="59.7109375" style="9" customWidth="1"/>
    <col min="3" max="4" width="25" customWidth="1"/>
    <col min="5" max="5" width="11" customWidth="1"/>
    <col min="6" max="6" width="11.140625" bestFit="1" customWidth="1"/>
    <col min="7" max="29" width="10.5703125" bestFit="1" customWidth="1"/>
  </cols>
  <sheetData>
    <row r="1" spans="2:39">
      <c r="C1" s="63"/>
      <c r="D1" s="63"/>
      <c r="E1" s="63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2:39" s="6" customFormat="1">
      <c r="B2" s="4" t="s">
        <v>97</v>
      </c>
      <c r="C2" s="23"/>
      <c r="D2" s="23"/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21</v>
      </c>
      <c r="O2" s="5" t="s">
        <v>22</v>
      </c>
      <c r="P2" s="5" t="s">
        <v>23</v>
      </c>
      <c r="Q2" s="5" t="s">
        <v>24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5" t="s">
        <v>30</v>
      </c>
      <c r="X2" s="5" t="s">
        <v>31</v>
      </c>
      <c r="Y2" s="5" t="s">
        <v>32</v>
      </c>
      <c r="Z2" s="5" t="s">
        <v>33</v>
      </c>
      <c r="AA2" s="5" t="s">
        <v>34</v>
      </c>
      <c r="AB2" s="5" t="s">
        <v>35</v>
      </c>
      <c r="AC2" s="5" t="s">
        <v>36</v>
      </c>
      <c r="AD2" s="5" t="s">
        <v>37</v>
      </c>
      <c r="AE2" s="5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</row>
    <row r="3" spans="2:39" hidden="1">
      <c r="B3" s="10" t="s">
        <v>0</v>
      </c>
      <c r="C3" s="1"/>
      <c r="D3" s="1"/>
      <c r="E3" s="1"/>
      <c r="F3" s="1">
        <v>1580.2999999999997</v>
      </c>
      <c r="G3" s="1">
        <v>1597.3999999999999</v>
      </c>
      <c r="H3" s="1">
        <v>1685.4000000002745</v>
      </c>
      <c r="I3" s="1">
        <v>1548.2000000002745</v>
      </c>
      <c r="J3" s="1">
        <v>1038.7000000072244</v>
      </c>
      <c r="K3" s="1">
        <v>937.90000000722443</v>
      </c>
      <c r="L3" s="1">
        <v>896.50000000722434</v>
      </c>
      <c r="M3" s="1">
        <v>834.40000000722466</v>
      </c>
      <c r="N3" s="1">
        <v>834.40000000722443</v>
      </c>
      <c r="O3" s="1">
        <v>834.40000000722432</v>
      </c>
      <c r="P3" s="1">
        <v>834.40000000722432</v>
      </c>
      <c r="Q3" s="1">
        <v>834.40000000722466</v>
      </c>
      <c r="R3" s="1">
        <v>812.10000000722437</v>
      </c>
      <c r="S3" s="1">
        <v>754.00000000722446</v>
      </c>
      <c r="T3" s="1">
        <v>715.7000000072245</v>
      </c>
      <c r="U3" s="1">
        <v>630.50000000722468</v>
      </c>
      <c r="V3" s="1">
        <v>630.50000000722446</v>
      </c>
      <c r="W3" s="1">
        <v>624.30000000722441</v>
      </c>
      <c r="X3" s="1">
        <v>624.30000000722441</v>
      </c>
      <c r="Y3" s="1">
        <v>624.30000000722464</v>
      </c>
      <c r="Z3" s="1">
        <v>615.7000000072245</v>
      </c>
      <c r="AA3" s="1">
        <v>598.60000000722437</v>
      </c>
      <c r="AB3" s="1">
        <v>388.60000000694993</v>
      </c>
      <c r="AC3" s="1">
        <v>341.90000000694999</v>
      </c>
      <c r="AD3" s="1">
        <v>263.40000000694994</v>
      </c>
      <c r="AE3" s="1">
        <v>181.90000000694994</v>
      </c>
      <c r="AF3" s="1">
        <v>181.90000000694994</v>
      </c>
      <c r="AG3" s="1">
        <v>79.300000006949986</v>
      </c>
      <c r="AH3" s="1">
        <v>69.500000006949989</v>
      </c>
    </row>
    <row r="4" spans="2:39" hidden="1">
      <c r="B4" s="10" t="s">
        <v>1</v>
      </c>
      <c r="C4" s="1"/>
      <c r="D4" s="1"/>
      <c r="E4" s="1"/>
      <c r="F4" s="1">
        <v>1792.5</v>
      </c>
      <c r="G4" s="1">
        <v>1792.5</v>
      </c>
      <c r="H4" s="1">
        <v>1792.5</v>
      </c>
      <c r="I4" s="1">
        <v>1792.5000000000002</v>
      </c>
      <c r="J4" s="1">
        <v>1500.4999999999995</v>
      </c>
      <c r="K4" s="1">
        <v>1500.4999999999995</v>
      </c>
      <c r="L4" s="1">
        <v>570.49999999999989</v>
      </c>
      <c r="M4" s="1">
        <v>294.49999999999989</v>
      </c>
      <c r="N4" s="1">
        <v>294.49999999999989</v>
      </c>
      <c r="O4" s="1">
        <v>294.49999999999989</v>
      </c>
      <c r="P4" s="1">
        <v>294.49999999999989</v>
      </c>
      <c r="Q4" s="1">
        <v>294.49999999999989</v>
      </c>
      <c r="R4" s="1">
        <v>294.49999999999989</v>
      </c>
      <c r="S4" s="1">
        <v>294.49999999999989</v>
      </c>
      <c r="T4" s="1">
        <v>294.49999999999989</v>
      </c>
      <c r="U4" s="1">
        <v>294.49999999999989</v>
      </c>
      <c r="V4" s="1">
        <v>294.49999999999989</v>
      </c>
      <c r="W4" s="1">
        <v>294.49999999999989</v>
      </c>
      <c r="X4" s="1">
        <v>294.49999999999989</v>
      </c>
      <c r="Y4" s="1">
        <v>294.49999999999989</v>
      </c>
      <c r="Z4" s="1">
        <v>294.49999999999989</v>
      </c>
      <c r="AA4" s="1">
        <v>294.49999999999989</v>
      </c>
      <c r="AB4" s="1">
        <v>294.49999999999989</v>
      </c>
    </row>
    <row r="5" spans="2:39" hidden="1">
      <c r="B5" s="10" t="s">
        <v>2</v>
      </c>
      <c r="C5" s="1"/>
      <c r="D5" s="1"/>
      <c r="E5" s="1"/>
      <c r="F5" s="1">
        <v>5749.2000001093484</v>
      </c>
      <c r="G5" s="1">
        <v>5782.6000001093471</v>
      </c>
      <c r="H5" s="1">
        <v>6489.6000001099119</v>
      </c>
      <c r="I5" s="1">
        <v>6909.7000001099077</v>
      </c>
      <c r="J5" s="1">
        <v>7090.8000001280197</v>
      </c>
      <c r="K5" s="1">
        <v>7090.8000001280188</v>
      </c>
      <c r="L5" s="1">
        <v>7090.8000001280197</v>
      </c>
      <c r="M5" s="1">
        <v>7090.8000001280207</v>
      </c>
      <c r="N5" s="1">
        <v>7090.8000001280197</v>
      </c>
      <c r="O5" s="1">
        <v>7090.8000001280207</v>
      </c>
      <c r="P5" s="1">
        <v>7090.8000001280207</v>
      </c>
      <c r="Q5" s="1">
        <v>7090.8000001280216</v>
      </c>
      <c r="R5" s="1">
        <v>5745.0999999854221</v>
      </c>
      <c r="S5" s="1">
        <v>5094.1999999854224</v>
      </c>
      <c r="T5" s="1">
        <v>4806.3999999854223</v>
      </c>
      <c r="U5" s="1">
        <v>3545.1000000186732</v>
      </c>
      <c r="V5" s="1">
        <v>3293.4000000186729</v>
      </c>
      <c r="W5" s="1">
        <v>2054.9000000186729</v>
      </c>
      <c r="X5" s="1">
        <v>1377.2000000186729</v>
      </c>
      <c r="Y5" s="1">
        <v>1377.2000000186736</v>
      </c>
      <c r="Z5" s="1">
        <v>1341.600000018673</v>
      </c>
      <c r="AA5" s="1">
        <v>1308.2000000186731</v>
      </c>
      <c r="AB5" s="1">
        <v>601.20000001810911</v>
      </c>
      <c r="AC5" s="1">
        <v>181.10000001811002</v>
      </c>
    </row>
    <row r="6" spans="2:39" hidden="1">
      <c r="B6" s="10" t="s">
        <v>3</v>
      </c>
      <c r="C6" s="1"/>
      <c r="D6" s="1"/>
      <c r="E6" s="1"/>
      <c r="F6" s="1">
        <v>200</v>
      </c>
      <c r="G6" s="1">
        <v>200</v>
      </c>
      <c r="H6" s="1">
        <v>200</v>
      </c>
      <c r="I6" s="1">
        <v>200</v>
      </c>
      <c r="J6" s="1">
        <v>200</v>
      </c>
    </row>
    <row r="7" spans="2:39" hidden="1">
      <c r="B7" s="10" t="s">
        <v>4</v>
      </c>
      <c r="C7" s="1"/>
      <c r="D7" s="1"/>
      <c r="E7" s="1"/>
      <c r="F7" s="1">
        <v>4796.7000000000007</v>
      </c>
      <c r="G7" s="1">
        <v>4796.7</v>
      </c>
      <c r="H7" s="1">
        <v>6315.6</v>
      </c>
      <c r="I7" s="1">
        <v>6172.9999999999991</v>
      </c>
      <c r="J7" s="1">
        <v>6276.1000000673093</v>
      </c>
      <c r="K7" s="1">
        <v>6076.1000000673093</v>
      </c>
      <c r="L7" s="1">
        <v>5725.1000000673093</v>
      </c>
      <c r="M7" s="1">
        <v>5725.1000000673093</v>
      </c>
      <c r="N7" s="1">
        <v>5725.1000000673093</v>
      </c>
      <c r="O7" s="1">
        <v>5725.1000000673093</v>
      </c>
      <c r="P7" s="1">
        <v>5725.1000000673093</v>
      </c>
      <c r="Q7" s="1">
        <v>5725.1000000673093</v>
      </c>
      <c r="R7" s="1">
        <v>5725.1000000673093</v>
      </c>
      <c r="S7" s="1">
        <v>4858.7000000673097</v>
      </c>
      <c r="T7" s="1">
        <v>4858.7000000673097</v>
      </c>
      <c r="U7" s="1">
        <v>4858.7000000673097</v>
      </c>
      <c r="V7" s="1">
        <v>4858.7000000673097</v>
      </c>
      <c r="W7" s="1">
        <v>4836.000000067309</v>
      </c>
      <c r="X7" s="1">
        <v>4836.000000067309</v>
      </c>
      <c r="Y7" s="1">
        <v>4836.000000067309</v>
      </c>
      <c r="Z7" s="1">
        <v>4832.7000000673088</v>
      </c>
      <c r="AA7" s="1">
        <v>4832.7000000673088</v>
      </c>
      <c r="AB7" s="1">
        <v>4832.7000000673097</v>
      </c>
      <c r="AC7" s="1">
        <v>3737.40000006731</v>
      </c>
      <c r="AD7" s="1">
        <v>2870.4000000673095</v>
      </c>
      <c r="AE7" s="1">
        <v>2870.4000000673095</v>
      </c>
      <c r="AF7" s="1">
        <v>2870.4000000673095</v>
      </c>
      <c r="AG7" s="1">
        <v>999.50000006731011</v>
      </c>
      <c r="AH7" s="1">
        <v>673.10000006731002</v>
      </c>
    </row>
    <row r="8" spans="2:39" hidden="1">
      <c r="B8" s="10" t="s">
        <v>5</v>
      </c>
      <c r="C8" s="1"/>
      <c r="D8" s="1"/>
      <c r="E8" s="1"/>
      <c r="F8" s="1">
        <v>545.99999999999977</v>
      </c>
      <c r="G8" s="1">
        <v>545.99999999999989</v>
      </c>
      <c r="H8" s="1">
        <v>545.99999999999989</v>
      </c>
      <c r="I8" s="1">
        <v>545.99999999999989</v>
      </c>
      <c r="J8" s="1">
        <v>545.99999999999989</v>
      </c>
      <c r="K8" s="1">
        <v>449.99999999999977</v>
      </c>
      <c r="L8" s="1">
        <v>449.99999999999977</v>
      </c>
    </row>
    <row r="9" spans="2:39" hidden="1">
      <c r="B9" s="10" t="s">
        <v>6</v>
      </c>
      <c r="C9" s="1"/>
      <c r="D9" s="1"/>
      <c r="E9" s="1"/>
      <c r="F9" s="1">
        <v>733.45999971099172</v>
      </c>
      <c r="G9" s="1">
        <v>747.459999710989</v>
      </c>
      <c r="H9" s="1">
        <v>856.15999971237579</v>
      </c>
      <c r="I9" s="1">
        <v>906.05999971237588</v>
      </c>
      <c r="J9" s="1">
        <v>1009.8599997227559</v>
      </c>
      <c r="K9" s="1">
        <v>1009.8599997227559</v>
      </c>
      <c r="L9" s="1">
        <v>1009.8599997227559</v>
      </c>
      <c r="M9" s="1">
        <v>1009.8599997227559</v>
      </c>
      <c r="N9" s="1">
        <v>1009.8599997227559</v>
      </c>
      <c r="O9" s="1">
        <v>1009.8599997227559</v>
      </c>
      <c r="P9" s="1">
        <v>1009.8599997227561</v>
      </c>
      <c r="Q9" s="1">
        <v>1009.8599997227559</v>
      </c>
      <c r="R9" s="1">
        <v>1009.8599997227561</v>
      </c>
      <c r="S9" s="1">
        <v>1009.8599997227561</v>
      </c>
      <c r="T9" s="1">
        <v>1009.8599997227559</v>
      </c>
      <c r="U9" s="1">
        <v>1009.8599997227559</v>
      </c>
      <c r="V9" s="1">
        <v>1009.8599997227561</v>
      </c>
      <c r="W9" s="1">
        <v>1009.8599997227561</v>
      </c>
      <c r="X9" s="1">
        <v>921.8599997227559</v>
      </c>
      <c r="Y9" s="1">
        <v>847.8599997227559</v>
      </c>
      <c r="Z9" s="1">
        <v>847.8599997227559</v>
      </c>
      <c r="AA9" s="1">
        <v>846.8599997227559</v>
      </c>
      <c r="AB9" s="1">
        <v>798.76000001176453</v>
      </c>
      <c r="AC9" s="1">
        <v>777.06000001176449</v>
      </c>
      <c r="AD9" s="1">
        <v>738.06000001176449</v>
      </c>
      <c r="AE9" s="1">
        <v>738.06000001176449</v>
      </c>
      <c r="AF9" s="1">
        <v>738.06000001176449</v>
      </c>
      <c r="AG9" s="1">
        <v>552.96000001176412</v>
      </c>
      <c r="AH9" s="1">
        <v>543.96000001176435</v>
      </c>
      <c r="AI9" s="1">
        <v>451.06000001176432</v>
      </c>
      <c r="AJ9" s="1">
        <v>276.40000001176435</v>
      </c>
      <c r="AK9" s="1">
        <v>262.40000001176708</v>
      </c>
      <c r="AL9" s="1">
        <v>153.70000001038002</v>
      </c>
      <c r="AM9" s="1">
        <v>103.80000001038</v>
      </c>
    </row>
    <row r="10" spans="2:39" hidden="1">
      <c r="B10" s="10" t="s">
        <v>7</v>
      </c>
      <c r="C10" s="1"/>
      <c r="D10" s="1"/>
      <c r="E10" s="1"/>
      <c r="F10" s="1">
        <v>12065.31000007124</v>
      </c>
      <c r="G10" s="1">
        <v>12065.31000007124</v>
      </c>
      <c r="H10" s="1">
        <v>12065.31000007124</v>
      </c>
      <c r="I10" s="1">
        <v>12088.710000071242</v>
      </c>
      <c r="J10" s="1">
        <v>12149.91000007736</v>
      </c>
      <c r="K10" s="1">
        <v>12149.91000007736</v>
      </c>
      <c r="L10" s="1">
        <v>12149.91000007736</v>
      </c>
      <c r="M10" s="1">
        <v>12149.910000077361</v>
      </c>
      <c r="N10" s="1">
        <v>12149.91000007736</v>
      </c>
      <c r="O10" s="1">
        <v>12149.91000007736</v>
      </c>
      <c r="P10" s="1">
        <v>12149.91000007736</v>
      </c>
      <c r="Q10" s="1">
        <v>12149.910000077361</v>
      </c>
      <c r="R10" s="1">
        <v>12149.91000007736</v>
      </c>
      <c r="S10" s="1">
        <v>12149.91000007736</v>
      </c>
      <c r="T10" s="1">
        <v>12149.910000077361</v>
      </c>
      <c r="U10" s="1">
        <v>12149.910000077361</v>
      </c>
      <c r="V10" s="1">
        <v>12149.910000077361</v>
      </c>
      <c r="W10" s="1">
        <v>12079.910000077361</v>
      </c>
      <c r="X10" s="1">
        <v>11094.910000077361</v>
      </c>
      <c r="Y10" s="1">
        <v>10241.910000077361</v>
      </c>
      <c r="Z10" s="1">
        <v>9672.9100000545477</v>
      </c>
      <c r="AA10" s="1">
        <v>7405.3100000852592</v>
      </c>
      <c r="AB10" s="1">
        <v>5901.5999999754094</v>
      </c>
      <c r="AC10" s="1">
        <v>5692.2999999754102</v>
      </c>
      <c r="AD10" s="1">
        <v>1236.6000000061199</v>
      </c>
      <c r="AE10" s="1">
        <v>1154.8000000061202</v>
      </c>
      <c r="AF10" s="1">
        <v>874.60000000612024</v>
      </c>
      <c r="AG10" s="1">
        <v>226.90000000612002</v>
      </c>
      <c r="AH10" s="1">
        <v>226.90000000612002</v>
      </c>
      <c r="AI10" s="1">
        <v>118.70000000612001</v>
      </c>
      <c r="AJ10" s="1">
        <v>84.600000006119998</v>
      </c>
      <c r="AK10" s="1">
        <v>84.600000006119998</v>
      </c>
      <c r="AL10" s="1">
        <v>84.600000006119998</v>
      </c>
      <c r="AM10" s="1">
        <v>61.200000006119993</v>
      </c>
    </row>
    <row r="11" spans="2:39" hidden="1">
      <c r="B11" s="10" t="s">
        <v>8</v>
      </c>
      <c r="C11" s="1"/>
      <c r="D11" s="1"/>
      <c r="E11" s="1"/>
      <c r="F11" s="1">
        <v>9.44</v>
      </c>
      <c r="G11" s="1">
        <v>15.139999999999997</v>
      </c>
      <c r="H11" s="1">
        <v>15.139999999999997</v>
      </c>
      <c r="I11" s="1">
        <v>20.54</v>
      </c>
      <c r="J11" s="1">
        <v>27.540000000699997</v>
      </c>
      <c r="K11" s="1">
        <v>27.540000000699997</v>
      </c>
      <c r="L11" s="1">
        <v>27.540000000699997</v>
      </c>
      <c r="M11" s="1">
        <v>27.540000000700001</v>
      </c>
      <c r="N11" s="1">
        <v>27.540000000699997</v>
      </c>
      <c r="O11" s="1">
        <v>27.540000000699997</v>
      </c>
      <c r="P11" s="1">
        <v>27.540000000699997</v>
      </c>
      <c r="Q11" s="1">
        <v>27.540000000700001</v>
      </c>
      <c r="R11" s="1">
        <v>27.540000000699997</v>
      </c>
      <c r="S11" s="1">
        <v>27.540000000699997</v>
      </c>
      <c r="T11" s="1">
        <v>27.540000000699997</v>
      </c>
      <c r="U11" s="1">
        <v>27.540000000700001</v>
      </c>
      <c r="V11" s="1">
        <v>27.540000000699997</v>
      </c>
      <c r="W11" s="1">
        <v>27.540000000699997</v>
      </c>
      <c r="X11" s="1">
        <v>27.540000000699997</v>
      </c>
      <c r="Y11" s="1">
        <v>27.540000000700001</v>
      </c>
      <c r="Z11" s="1">
        <v>27.540000000699997</v>
      </c>
      <c r="AA11" s="1">
        <v>27.540000000699997</v>
      </c>
      <c r="AB11" s="1">
        <v>27.540000000699997</v>
      </c>
      <c r="AC11" s="1">
        <v>27.540000000700001</v>
      </c>
      <c r="AD11" s="1">
        <v>27.540000000699997</v>
      </c>
      <c r="AE11" s="1">
        <v>27.540000000700001</v>
      </c>
      <c r="AF11" s="1">
        <v>27.540000000700001</v>
      </c>
      <c r="AG11" s="1">
        <v>27.540000000700001</v>
      </c>
      <c r="AH11" s="1">
        <v>27.540000000700001</v>
      </c>
      <c r="AI11" s="1">
        <v>27.540000000700001</v>
      </c>
      <c r="AJ11" s="1">
        <v>18.1000000007</v>
      </c>
      <c r="AK11" s="1">
        <v>12.400000000699999</v>
      </c>
      <c r="AL11" s="1">
        <v>12.400000000699999</v>
      </c>
      <c r="AM11" s="1">
        <v>7.0000000007000001</v>
      </c>
    </row>
    <row r="12" spans="2:39" s="2" customFormat="1" hidden="1">
      <c r="B12" s="11" t="s">
        <v>9</v>
      </c>
      <c r="C12" s="3"/>
      <c r="D12" s="3"/>
      <c r="E12" s="3"/>
      <c r="F12" s="3">
        <v>1913.0000002433978</v>
      </c>
      <c r="G12" s="3">
        <v>1913.0000002433978</v>
      </c>
      <c r="H12" s="3">
        <v>1913.0000002433976</v>
      </c>
      <c r="I12" s="3">
        <v>1569</v>
      </c>
      <c r="J12" s="3">
        <v>472.00000000000006</v>
      </c>
      <c r="K12" s="3">
        <v>467.00000000000006</v>
      </c>
      <c r="L12" s="3">
        <v>201.99999999999997</v>
      </c>
    </row>
    <row r="13" spans="2:39" s="2" customFormat="1" hidden="1">
      <c r="B13" s="11" t="s">
        <v>10</v>
      </c>
      <c r="C13" s="3"/>
      <c r="D13" s="3"/>
      <c r="E13" s="3"/>
      <c r="F13" s="3">
        <v>484.00000012169903</v>
      </c>
      <c r="G13" s="3">
        <v>484.00000012169903</v>
      </c>
      <c r="H13" s="3">
        <v>365.00000012169875</v>
      </c>
      <c r="I13" s="3">
        <v>68.999999999999986</v>
      </c>
      <c r="J13" s="3">
        <v>68.999999999999986</v>
      </c>
    </row>
    <row r="14" spans="2:39" hidden="1">
      <c r="B14" s="10" t="s">
        <v>11</v>
      </c>
      <c r="C14" s="1"/>
      <c r="D14" s="1"/>
      <c r="E14" s="1"/>
      <c r="F14" s="1">
        <v>766.99999999999955</v>
      </c>
      <c r="G14" s="1">
        <v>993.4</v>
      </c>
      <c r="H14" s="1">
        <v>1014.5000000007825</v>
      </c>
      <c r="I14" s="1">
        <v>1014.5000000007832</v>
      </c>
      <c r="J14" s="1">
        <v>1074.0000000067325</v>
      </c>
      <c r="K14" s="1">
        <v>1074.0000000067325</v>
      </c>
      <c r="L14" s="1">
        <v>1074.0000000067325</v>
      </c>
      <c r="M14" s="1">
        <v>1074.0000000067332</v>
      </c>
      <c r="N14" s="1">
        <v>1074.0000000067325</v>
      </c>
      <c r="O14" s="1">
        <v>1074.0000000067325</v>
      </c>
      <c r="P14" s="1">
        <v>1074.0000000067325</v>
      </c>
      <c r="Q14" s="1">
        <v>1074.0000000067332</v>
      </c>
      <c r="R14" s="1">
        <v>1074.0000000067325</v>
      </c>
      <c r="S14" s="1">
        <v>1074.0000000067325</v>
      </c>
      <c r="T14" s="1">
        <v>1074.0000000067325</v>
      </c>
      <c r="U14" s="1">
        <v>1074.0000000067332</v>
      </c>
      <c r="V14" s="1">
        <v>1074.0000000067325</v>
      </c>
      <c r="W14" s="1">
        <v>710.00000000673276</v>
      </c>
      <c r="X14" s="1">
        <v>477.20000000673269</v>
      </c>
      <c r="Y14" s="1">
        <v>477.20000000673332</v>
      </c>
      <c r="Z14" s="1">
        <v>307.00000000673248</v>
      </c>
      <c r="AA14" s="1">
        <v>80.6000000067325</v>
      </c>
      <c r="AB14" s="1">
        <v>59.50000000595</v>
      </c>
      <c r="AC14" s="1">
        <v>59.50000000595</v>
      </c>
    </row>
    <row r="15" spans="2:39" s="16" customFormat="1" hidden="1">
      <c r="B15" s="14" t="s">
        <v>47</v>
      </c>
      <c r="C15" s="15"/>
      <c r="D15" s="15"/>
      <c r="E15" s="15"/>
      <c r="F15" s="15">
        <f t="shared" ref="F15:AM15" si="0">SUM(F3:F14)</f>
        <v>30636.910000256677</v>
      </c>
      <c r="G15" s="15">
        <f t="shared" si="0"/>
        <v>30933.510000256672</v>
      </c>
      <c r="H15" s="15">
        <f t="shared" si="0"/>
        <v>33258.210000259685</v>
      </c>
      <c r="I15" s="15">
        <f t="shared" si="0"/>
        <v>32837.209999894585</v>
      </c>
      <c r="J15" s="15">
        <f t="shared" si="0"/>
        <v>31454.410000010106</v>
      </c>
      <c r="K15" s="15">
        <f t="shared" si="0"/>
        <v>30783.610000010103</v>
      </c>
      <c r="L15" s="15">
        <f t="shared" si="0"/>
        <v>29196.210000010102</v>
      </c>
      <c r="M15" s="15">
        <f t="shared" si="0"/>
        <v>28206.110000010103</v>
      </c>
      <c r="N15" s="15">
        <f t="shared" si="0"/>
        <v>28206.110000010103</v>
      </c>
      <c r="O15" s="15">
        <f t="shared" si="0"/>
        <v>28206.110000010103</v>
      </c>
      <c r="P15" s="15">
        <f t="shared" si="0"/>
        <v>28206.110000010103</v>
      </c>
      <c r="Q15" s="15">
        <f t="shared" si="0"/>
        <v>28206.110000010103</v>
      </c>
      <c r="R15" s="15">
        <f t="shared" si="0"/>
        <v>26838.109999867505</v>
      </c>
      <c r="S15" s="15">
        <f t="shared" si="0"/>
        <v>25262.709999867504</v>
      </c>
      <c r="T15" s="15">
        <f t="shared" si="0"/>
        <v>24936.609999867509</v>
      </c>
      <c r="U15" s="15">
        <f t="shared" si="0"/>
        <v>23590.10999990076</v>
      </c>
      <c r="V15" s="15">
        <f t="shared" si="0"/>
        <v>23338.409999900756</v>
      </c>
      <c r="W15" s="15">
        <f t="shared" si="0"/>
        <v>21637.009999900754</v>
      </c>
      <c r="X15" s="15">
        <f t="shared" si="0"/>
        <v>19653.509999900754</v>
      </c>
      <c r="Y15" s="15">
        <f t="shared" si="0"/>
        <v>18726.509999900758</v>
      </c>
      <c r="Z15" s="15">
        <f t="shared" si="0"/>
        <v>17939.809999877943</v>
      </c>
      <c r="AA15" s="15">
        <f t="shared" si="0"/>
        <v>15394.309999908652</v>
      </c>
      <c r="AB15" s="15">
        <f t="shared" si="0"/>
        <v>12904.400000086191</v>
      </c>
      <c r="AC15" s="15">
        <f t="shared" si="0"/>
        <v>10816.800000086194</v>
      </c>
      <c r="AD15" s="15">
        <f t="shared" si="0"/>
        <v>5136.0000000928439</v>
      </c>
      <c r="AE15" s="15">
        <f t="shared" si="0"/>
        <v>4972.7000000928447</v>
      </c>
      <c r="AF15" s="15">
        <f t="shared" si="0"/>
        <v>4692.5000000928449</v>
      </c>
      <c r="AG15" s="15">
        <f t="shared" si="0"/>
        <v>1886.2000000928444</v>
      </c>
      <c r="AH15" s="15">
        <f t="shared" si="0"/>
        <v>1541.0000000928446</v>
      </c>
      <c r="AI15" s="15">
        <f t="shared" si="0"/>
        <v>597.30000001858434</v>
      </c>
      <c r="AJ15" s="15">
        <f t="shared" si="0"/>
        <v>379.10000001858435</v>
      </c>
      <c r="AK15" s="15">
        <f t="shared" si="0"/>
        <v>359.40000001858709</v>
      </c>
      <c r="AL15" s="15">
        <f t="shared" si="0"/>
        <v>250.70000001720001</v>
      </c>
      <c r="AM15" s="15">
        <f t="shared" si="0"/>
        <v>172.00000001719999</v>
      </c>
    </row>
    <row r="16" spans="2:39" s="2" customFormat="1" hidden="1">
      <c r="B16" s="12" t="s">
        <v>52</v>
      </c>
      <c r="C16" s="7"/>
      <c r="D16" s="7"/>
      <c r="E16" s="7"/>
      <c r="F16" s="7">
        <f t="shared" ref="F16:AM16" si="1">F12+F13</f>
        <v>2397.0000003650966</v>
      </c>
      <c r="G16" s="7">
        <f t="shared" si="1"/>
        <v>2397.0000003650966</v>
      </c>
      <c r="H16" s="7">
        <f t="shared" si="1"/>
        <v>2278.0000003650962</v>
      </c>
      <c r="I16" s="7">
        <f t="shared" si="1"/>
        <v>1638</v>
      </c>
      <c r="J16" s="7">
        <f t="shared" si="1"/>
        <v>541</v>
      </c>
      <c r="K16" s="7">
        <f t="shared" si="1"/>
        <v>467.00000000000006</v>
      </c>
      <c r="L16" s="7">
        <f t="shared" si="1"/>
        <v>201.99999999999997</v>
      </c>
      <c r="M16" s="7">
        <f t="shared" si="1"/>
        <v>0</v>
      </c>
      <c r="N16" s="7">
        <f t="shared" si="1"/>
        <v>0</v>
      </c>
      <c r="O16" s="7">
        <f t="shared" si="1"/>
        <v>0</v>
      </c>
      <c r="P16" s="7">
        <f t="shared" si="1"/>
        <v>0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7">
        <f t="shared" si="1"/>
        <v>0</v>
      </c>
      <c r="U16" s="7">
        <f t="shared" si="1"/>
        <v>0</v>
      </c>
      <c r="V16" s="7">
        <f t="shared" si="1"/>
        <v>0</v>
      </c>
      <c r="W16" s="7">
        <f t="shared" si="1"/>
        <v>0</v>
      </c>
      <c r="X16" s="7">
        <f t="shared" si="1"/>
        <v>0</v>
      </c>
      <c r="Y16" s="7">
        <f t="shared" si="1"/>
        <v>0</v>
      </c>
      <c r="Z16" s="7">
        <f t="shared" si="1"/>
        <v>0</v>
      </c>
      <c r="AA16" s="7">
        <f t="shared" si="1"/>
        <v>0</v>
      </c>
      <c r="AB16" s="7">
        <f t="shared" si="1"/>
        <v>0</v>
      </c>
      <c r="AC16" s="7">
        <f t="shared" si="1"/>
        <v>0</v>
      </c>
      <c r="AD16" s="7">
        <f t="shared" si="1"/>
        <v>0</v>
      </c>
      <c r="AE16" s="7">
        <f t="shared" si="1"/>
        <v>0</v>
      </c>
      <c r="AF16" s="7">
        <f t="shared" si="1"/>
        <v>0</v>
      </c>
      <c r="AG16" s="7">
        <f t="shared" si="1"/>
        <v>0</v>
      </c>
      <c r="AH16" s="7">
        <f t="shared" si="1"/>
        <v>0</v>
      </c>
      <c r="AI16" s="7">
        <f t="shared" si="1"/>
        <v>0</v>
      </c>
      <c r="AJ16" s="7">
        <f t="shared" si="1"/>
        <v>0</v>
      </c>
      <c r="AK16" s="7">
        <f t="shared" si="1"/>
        <v>0</v>
      </c>
      <c r="AL16" s="7">
        <f t="shared" si="1"/>
        <v>0</v>
      </c>
      <c r="AM16" s="7">
        <f t="shared" si="1"/>
        <v>0</v>
      </c>
    </row>
    <row r="17" spans="2:39" s="16" customFormat="1" hidden="1">
      <c r="B17" s="17" t="s">
        <v>48</v>
      </c>
    </row>
    <row r="18" spans="2:39" s="16" customFormat="1" hidden="1">
      <c r="B18" s="17" t="s">
        <v>49</v>
      </c>
      <c r="F18" s="16">
        <v>6438</v>
      </c>
      <c r="G18" s="16">
        <v>6438</v>
      </c>
      <c r="H18" s="16">
        <v>6438</v>
      </c>
      <c r="I18" s="16">
        <v>6438</v>
      </c>
      <c r="J18" s="16">
        <v>6438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</row>
    <row r="19" spans="2:39" s="16" customFormat="1" hidden="1">
      <c r="B19" s="17" t="s">
        <v>50</v>
      </c>
      <c r="F19" s="16">
        <v>7800</v>
      </c>
      <c r="G19" s="16">
        <v>7800</v>
      </c>
      <c r="H19" s="16">
        <v>7800</v>
      </c>
      <c r="I19" s="16">
        <v>7800</v>
      </c>
      <c r="J19" s="16">
        <v>7800</v>
      </c>
      <c r="K19" s="16">
        <v>7800</v>
      </c>
      <c r="L19" s="16">
        <v>7800</v>
      </c>
      <c r="M19" s="16">
        <v>7800</v>
      </c>
      <c r="N19" s="16">
        <v>7800</v>
      </c>
      <c r="O19" s="16">
        <v>7800</v>
      </c>
      <c r="P19" s="16">
        <v>7800</v>
      </c>
      <c r="Q19" s="16">
        <v>7800</v>
      </c>
      <c r="R19" s="16">
        <v>7800</v>
      </c>
      <c r="S19" s="16">
        <v>7800</v>
      </c>
      <c r="T19" s="16">
        <v>7800</v>
      </c>
      <c r="U19" s="16">
        <v>7800</v>
      </c>
      <c r="V19" s="16">
        <v>7800</v>
      </c>
      <c r="W19" s="16">
        <v>7800</v>
      </c>
      <c r="X19" s="16">
        <v>7800</v>
      </c>
      <c r="Y19" s="16">
        <v>7800</v>
      </c>
      <c r="Z19" s="16">
        <v>7800</v>
      </c>
      <c r="AA19" s="16">
        <v>7800</v>
      </c>
      <c r="AB19" s="16">
        <v>7800</v>
      </c>
      <c r="AC19" s="16">
        <v>7800</v>
      </c>
      <c r="AD19" s="16">
        <v>7800</v>
      </c>
      <c r="AE19" s="16">
        <v>7800</v>
      </c>
      <c r="AF19" s="16">
        <v>7800</v>
      </c>
      <c r="AG19" s="16">
        <v>7800</v>
      </c>
      <c r="AH19" s="16">
        <v>7800</v>
      </c>
      <c r="AI19" s="16">
        <v>7800</v>
      </c>
      <c r="AJ19" s="16">
        <v>7800</v>
      </c>
      <c r="AK19" s="16">
        <v>7800</v>
      </c>
      <c r="AL19" s="16">
        <v>7800</v>
      </c>
      <c r="AM19" s="16">
        <v>7800</v>
      </c>
    </row>
    <row r="20" spans="2:39" s="8" customFormat="1" hidden="1">
      <c r="B20" s="13" t="s">
        <v>51</v>
      </c>
      <c r="F20" s="8">
        <v>6589</v>
      </c>
      <c r="G20" s="8">
        <v>6589</v>
      </c>
      <c r="H20" s="8">
        <v>6589</v>
      </c>
      <c r="I20" s="8">
        <v>6589</v>
      </c>
      <c r="J20" s="8">
        <v>4573.7</v>
      </c>
      <c r="K20" s="8">
        <v>2015.7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</row>
    <row r="21" spans="2:39" s="18" customFormat="1" hidden="1">
      <c r="B21" s="18" t="s">
        <v>53</v>
      </c>
      <c r="C21" s="19"/>
      <c r="D21" s="19"/>
      <c r="E21" s="19"/>
      <c r="F21" s="19">
        <f t="shared" ref="F21:AM21" si="2">F15+F17+F18+F19</f>
        <v>44874.910000256677</v>
      </c>
      <c r="G21" s="19">
        <f t="shared" si="2"/>
        <v>45171.510000256676</v>
      </c>
      <c r="H21" s="19">
        <f t="shared" si="2"/>
        <v>47496.210000259685</v>
      </c>
      <c r="I21" s="19">
        <f t="shared" si="2"/>
        <v>47075.209999894585</v>
      </c>
      <c r="J21" s="19">
        <f t="shared" si="2"/>
        <v>45692.410000010103</v>
      </c>
      <c r="K21" s="19">
        <f t="shared" si="2"/>
        <v>38583.6100000101</v>
      </c>
      <c r="L21" s="19">
        <f t="shared" si="2"/>
        <v>36996.210000010105</v>
      </c>
      <c r="M21" s="19">
        <f t="shared" si="2"/>
        <v>36006.1100000101</v>
      </c>
      <c r="N21" s="19">
        <f t="shared" si="2"/>
        <v>36006.1100000101</v>
      </c>
      <c r="O21" s="19">
        <f t="shared" si="2"/>
        <v>36006.1100000101</v>
      </c>
      <c r="P21" s="19">
        <f t="shared" si="2"/>
        <v>36006.1100000101</v>
      </c>
      <c r="Q21" s="19">
        <f t="shared" si="2"/>
        <v>36006.1100000101</v>
      </c>
      <c r="R21" s="19">
        <f t="shared" si="2"/>
        <v>34638.109999867505</v>
      </c>
      <c r="S21" s="19">
        <f t="shared" si="2"/>
        <v>33062.709999867504</v>
      </c>
      <c r="T21" s="19">
        <f t="shared" si="2"/>
        <v>32736.609999867509</v>
      </c>
      <c r="U21" s="19">
        <f t="shared" si="2"/>
        <v>31390.10999990076</v>
      </c>
      <c r="V21" s="19">
        <f t="shared" si="2"/>
        <v>31138.409999900756</v>
      </c>
      <c r="W21" s="19">
        <f t="shared" si="2"/>
        <v>29437.009999900754</v>
      </c>
      <c r="X21" s="19">
        <f t="shared" si="2"/>
        <v>27453.509999900754</v>
      </c>
      <c r="Y21" s="19">
        <f t="shared" si="2"/>
        <v>26526.509999900758</v>
      </c>
      <c r="Z21" s="19">
        <f t="shared" si="2"/>
        <v>25739.809999877943</v>
      </c>
      <c r="AA21" s="19">
        <f t="shared" si="2"/>
        <v>23194.309999908652</v>
      </c>
      <c r="AB21" s="19">
        <f t="shared" si="2"/>
        <v>20704.400000086192</v>
      </c>
      <c r="AC21" s="19">
        <f t="shared" si="2"/>
        <v>18616.800000086194</v>
      </c>
      <c r="AD21" s="19">
        <f t="shared" si="2"/>
        <v>12936.000000092845</v>
      </c>
      <c r="AE21" s="19">
        <f t="shared" si="2"/>
        <v>12772.700000092846</v>
      </c>
      <c r="AF21" s="19">
        <f t="shared" si="2"/>
        <v>12492.500000092845</v>
      </c>
      <c r="AG21" s="19">
        <f t="shared" si="2"/>
        <v>9686.2000000928438</v>
      </c>
      <c r="AH21" s="19">
        <f t="shared" si="2"/>
        <v>9341.0000000928449</v>
      </c>
      <c r="AI21" s="19">
        <f t="shared" si="2"/>
        <v>8397.3000000185839</v>
      </c>
      <c r="AJ21" s="19">
        <f t="shared" si="2"/>
        <v>8179.1000000185841</v>
      </c>
      <c r="AK21" s="19">
        <f t="shared" si="2"/>
        <v>8159.400000018587</v>
      </c>
      <c r="AL21" s="19">
        <f t="shared" si="2"/>
        <v>8050.7000000172002</v>
      </c>
      <c r="AM21" s="19">
        <f t="shared" si="2"/>
        <v>7972.0000000172004</v>
      </c>
    </row>
    <row r="22" spans="2:39" hidden="1"/>
    <row r="23" spans="2:39" s="21" customFormat="1">
      <c r="B23" s="20" t="s">
        <v>84</v>
      </c>
      <c r="F23" s="21">
        <v>49600</v>
      </c>
      <c r="G23" s="21">
        <v>49000</v>
      </c>
      <c r="H23" s="21">
        <v>48200</v>
      </c>
      <c r="I23" s="21">
        <v>44700</v>
      </c>
      <c r="J23" s="21">
        <v>39700</v>
      </c>
      <c r="K23" s="21">
        <v>34800</v>
      </c>
      <c r="L23" s="21">
        <v>30700</v>
      </c>
      <c r="M23" s="21">
        <v>29400</v>
      </c>
      <c r="N23" s="21">
        <v>28900</v>
      </c>
      <c r="O23" s="21">
        <v>28500</v>
      </c>
      <c r="P23" s="21">
        <v>28300</v>
      </c>
      <c r="Q23" s="21">
        <v>28000</v>
      </c>
      <c r="R23" s="21">
        <v>28000</v>
      </c>
      <c r="S23" s="21">
        <v>26800</v>
      </c>
      <c r="T23" s="21">
        <v>25700</v>
      </c>
      <c r="U23" s="21">
        <v>31500</v>
      </c>
      <c r="V23" s="21">
        <v>29300</v>
      </c>
      <c r="W23" s="21">
        <v>28800</v>
      </c>
      <c r="X23" s="21">
        <v>27300</v>
      </c>
      <c r="Y23" s="21">
        <v>26400</v>
      </c>
      <c r="Z23" s="21">
        <v>25800</v>
      </c>
      <c r="AA23" s="21">
        <v>23600</v>
      </c>
      <c r="AB23" s="21">
        <v>22100</v>
      </c>
      <c r="AC23" s="21">
        <v>16000</v>
      </c>
    </row>
    <row r="24" spans="2:39" s="21" customFormat="1">
      <c r="B24" s="20" t="s">
        <v>85</v>
      </c>
      <c r="F24" s="21">
        <v>10559.26</v>
      </c>
      <c r="G24" s="21">
        <v>10559.26</v>
      </c>
      <c r="H24" s="21">
        <v>10559.26</v>
      </c>
      <c r="I24" s="21">
        <v>10559.26</v>
      </c>
      <c r="J24" s="21">
        <f>I24*2/3</f>
        <v>7039.5066666666671</v>
      </c>
      <c r="K24" s="21">
        <f>I24/3</f>
        <v>3519.7533333333336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</row>
    <row r="25" spans="2:39" s="21" customFormat="1">
      <c r="B25" s="20" t="s">
        <v>86</v>
      </c>
      <c r="F25" s="21">
        <v>10559.26</v>
      </c>
      <c r="G25" s="21">
        <v>10559.26</v>
      </c>
      <c r="H25" s="21">
        <v>10559.26</v>
      </c>
      <c r="I25" s="21">
        <v>10559.26</v>
      </c>
      <c r="J25" s="21">
        <v>10559.26</v>
      </c>
      <c r="K25" s="21">
        <v>10559.26</v>
      </c>
      <c r="L25" s="21">
        <v>10559.26</v>
      </c>
      <c r="M25" s="21">
        <v>10559.26</v>
      </c>
      <c r="N25" s="21">
        <v>10559.26</v>
      </c>
      <c r="O25" s="21">
        <v>10559.26</v>
      </c>
      <c r="P25" s="21">
        <v>10559.26</v>
      </c>
      <c r="Q25" s="21">
        <v>10559.26</v>
      </c>
      <c r="R25" s="21">
        <v>10559.26</v>
      </c>
      <c r="S25" s="21">
        <v>10559.26</v>
      </c>
      <c r="T25" s="21">
        <v>10559.26</v>
      </c>
    </row>
    <row r="26" spans="2:39" s="50" customFormat="1">
      <c r="B26" s="51" t="s">
        <v>96</v>
      </c>
      <c r="F26" s="50">
        <f>F23-F24+F25</f>
        <v>49600</v>
      </c>
      <c r="G26" s="50">
        <f t="shared" ref="G26:I26" si="3">G23-G24+G25</f>
        <v>49000</v>
      </c>
      <c r="H26" s="50">
        <f t="shared" si="3"/>
        <v>48200</v>
      </c>
      <c r="I26" s="50">
        <f t="shared" si="3"/>
        <v>44700</v>
      </c>
      <c r="J26" s="50">
        <v>43800</v>
      </c>
      <c r="K26" s="50">
        <v>42900</v>
      </c>
      <c r="L26" s="50">
        <v>42900</v>
      </c>
      <c r="M26" s="50">
        <v>41600</v>
      </c>
      <c r="N26" s="50">
        <v>41100</v>
      </c>
      <c r="O26" s="50">
        <v>40700</v>
      </c>
      <c r="P26" s="50">
        <v>40500</v>
      </c>
      <c r="Q26" s="50">
        <v>40200</v>
      </c>
      <c r="R26" s="50">
        <v>40200</v>
      </c>
      <c r="S26" s="50">
        <v>39000</v>
      </c>
      <c r="T26" s="50">
        <v>37900</v>
      </c>
    </row>
    <row r="27" spans="2:39">
      <c r="B27" s="20" t="s">
        <v>49</v>
      </c>
      <c r="F27" s="16">
        <v>6438</v>
      </c>
      <c r="G27" s="16">
        <v>6438</v>
      </c>
      <c r="H27" s="16">
        <v>6438</v>
      </c>
      <c r="I27" s="16">
        <v>6438</v>
      </c>
      <c r="J27" s="16">
        <v>6438</v>
      </c>
      <c r="K27" s="16">
        <v>6438</v>
      </c>
      <c r="L27" s="16">
        <v>6438</v>
      </c>
      <c r="M27" s="16">
        <v>6438</v>
      </c>
      <c r="N27" s="16">
        <v>6438</v>
      </c>
      <c r="O27" s="16">
        <v>6438</v>
      </c>
      <c r="P27" s="16">
        <v>6438</v>
      </c>
      <c r="Q27" s="16">
        <v>6438</v>
      </c>
      <c r="R27" s="16">
        <v>6438</v>
      </c>
      <c r="S27" s="16">
        <v>6438</v>
      </c>
      <c r="T27" s="16">
        <v>6438</v>
      </c>
      <c r="U27" s="16"/>
      <c r="V27" s="16"/>
      <c r="W27" s="16"/>
      <c r="X27" s="16"/>
      <c r="Y27" s="16"/>
      <c r="Z27" s="16"/>
      <c r="AA27" s="16"/>
      <c r="AB27" s="16"/>
      <c r="AC27" s="16"/>
    </row>
    <row r="28" spans="2:39">
      <c r="B28" s="20" t="s">
        <v>51</v>
      </c>
      <c r="F28" s="8">
        <v>6589</v>
      </c>
      <c r="G28" s="8">
        <v>6589</v>
      </c>
      <c r="H28" s="8">
        <v>6589</v>
      </c>
      <c r="I28" s="8">
        <v>6589</v>
      </c>
      <c r="J28" s="8">
        <v>6589</v>
      </c>
      <c r="K28" s="8">
        <v>6589</v>
      </c>
      <c r="L28" s="8">
        <v>6589</v>
      </c>
      <c r="M28" s="8">
        <v>6589</v>
      </c>
      <c r="N28" s="8">
        <v>6589</v>
      </c>
      <c r="O28" s="8">
        <v>6589</v>
      </c>
      <c r="P28" s="8">
        <v>6589</v>
      </c>
      <c r="Q28" s="8">
        <v>6589</v>
      </c>
      <c r="R28" s="8">
        <v>6589</v>
      </c>
      <c r="S28" s="8">
        <v>6589</v>
      </c>
      <c r="T28" s="8">
        <v>6589</v>
      </c>
      <c r="U28" s="8"/>
      <c r="V28" s="8"/>
      <c r="W28" s="8"/>
      <c r="X28" s="8"/>
      <c r="Y28" s="8"/>
      <c r="Z28" s="8"/>
      <c r="AA28" s="8"/>
      <c r="AB28" s="8"/>
      <c r="AC28" s="8"/>
    </row>
    <row r="29" spans="2:39">
      <c r="B29" s="20" t="s">
        <v>52</v>
      </c>
      <c r="F29">
        <v>2397.0000003650966</v>
      </c>
      <c r="G29">
        <v>2397.0000003650966</v>
      </c>
      <c r="H29">
        <v>2278.0000003650962</v>
      </c>
      <c r="I29">
        <v>1638</v>
      </c>
      <c r="J29">
        <v>541</v>
      </c>
      <c r="K29">
        <v>467.00000000000006</v>
      </c>
      <c r="L29">
        <v>201.99999999999997</v>
      </c>
    </row>
    <row r="30" spans="2:39" s="44" customFormat="1">
      <c r="B30" s="45" t="s">
        <v>54</v>
      </c>
      <c r="F30" s="46">
        <f t="shared" ref="F30:T30" si="4">F26-F27-F28-F29</f>
        <v>34175.999999634907</v>
      </c>
      <c r="G30" s="46">
        <f t="shared" si="4"/>
        <v>33575.999999634907</v>
      </c>
      <c r="H30" s="46">
        <f t="shared" si="4"/>
        <v>32894.999999634907</v>
      </c>
      <c r="I30" s="46">
        <f t="shared" si="4"/>
        <v>30035</v>
      </c>
      <c r="J30" s="46">
        <f t="shared" si="4"/>
        <v>30232</v>
      </c>
      <c r="K30" s="46">
        <f t="shared" si="4"/>
        <v>29406</v>
      </c>
      <c r="L30" s="46">
        <f t="shared" si="4"/>
        <v>29671</v>
      </c>
      <c r="M30" s="46">
        <f t="shared" si="4"/>
        <v>28573</v>
      </c>
      <c r="N30" s="46">
        <f t="shared" si="4"/>
        <v>28073</v>
      </c>
      <c r="O30" s="46">
        <f t="shared" si="4"/>
        <v>27673</v>
      </c>
      <c r="P30" s="46">
        <f t="shared" si="4"/>
        <v>27473</v>
      </c>
      <c r="Q30" s="46">
        <f t="shared" si="4"/>
        <v>27173</v>
      </c>
      <c r="R30" s="46">
        <f t="shared" si="4"/>
        <v>27173</v>
      </c>
      <c r="S30" s="46">
        <f t="shared" si="4"/>
        <v>25973</v>
      </c>
      <c r="T30" s="46">
        <f t="shared" si="4"/>
        <v>24873</v>
      </c>
      <c r="U30" s="46"/>
      <c r="V30" s="46"/>
      <c r="W30" s="46"/>
      <c r="X30" s="46"/>
      <c r="Y30" s="46"/>
    </row>
    <row r="31" spans="2:39">
      <c r="B31" s="20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2:39">
      <c r="B32" s="20" t="s">
        <v>78</v>
      </c>
      <c r="F32" s="29">
        <f>F28</f>
        <v>6589</v>
      </c>
      <c r="G32" s="29">
        <f>F32</f>
        <v>6589</v>
      </c>
      <c r="H32" s="29">
        <f t="shared" ref="H32:I32" si="5">G32</f>
        <v>6589</v>
      </c>
      <c r="I32" s="29">
        <f t="shared" si="5"/>
        <v>6589</v>
      </c>
      <c r="J32" s="29">
        <f>I32*2/3</f>
        <v>4392.666666666667</v>
      </c>
      <c r="K32" s="29">
        <f>I32/3</f>
        <v>2196.3333333333335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/>
      <c r="V32" s="22"/>
      <c r="W32" s="22"/>
      <c r="X32" s="22"/>
      <c r="Y32" s="22"/>
    </row>
    <row r="33" spans="1:25">
      <c r="B33" s="20" t="s">
        <v>80</v>
      </c>
      <c r="F33" s="30">
        <f>F27</f>
        <v>6438</v>
      </c>
      <c r="G33" s="30">
        <f t="shared" ref="G33:H33" si="6">G27</f>
        <v>6438</v>
      </c>
      <c r="H33" s="30">
        <f t="shared" si="6"/>
        <v>6438</v>
      </c>
      <c r="I33" s="30">
        <f>H33*0.75</f>
        <v>4828.5</v>
      </c>
      <c r="J33" s="30">
        <f>H33*0.5</f>
        <v>3219</v>
      </c>
      <c r="K33" s="30">
        <f>H33*0.25</f>
        <v>1609.5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5" spans="1:25" s="54" customFormat="1">
      <c r="A35" s="52" t="s">
        <v>101</v>
      </c>
      <c r="B35" s="52" t="s">
        <v>99</v>
      </c>
      <c r="C35" s="53" t="s">
        <v>62</v>
      </c>
      <c r="D35" s="53" t="s">
        <v>63</v>
      </c>
      <c r="E35" s="71" t="s">
        <v>100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25">
      <c r="A36" s="65" t="s">
        <v>55</v>
      </c>
      <c r="B36" s="37" t="s">
        <v>65</v>
      </c>
      <c r="C36" s="24">
        <f>273+667+173+245+353</f>
        <v>1711</v>
      </c>
      <c r="D36" s="22">
        <f t="shared" ref="D36:D47" si="7">$D$51/$C$51*C36</f>
        <v>2050.9856748708821</v>
      </c>
      <c r="E36" s="22">
        <f>E$53/D$53*D36</f>
        <v>2068.1873337286615</v>
      </c>
      <c r="F36" s="22">
        <f t="shared" ref="F36:T36" si="8">F$53/E$53*E36</f>
        <v>2138.505703075436</v>
      </c>
      <c r="G36" s="22">
        <f t="shared" si="8"/>
        <v>2215.4919083861519</v>
      </c>
      <c r="H36" s="22">
        <f t="shared" si="8"/>
        <v>2295.2496170880536</v>
      </c>
      <c r="I36" s="22">
        <f t="shared" si="8"/>
        <v>2377.8786033032234</v>
      </c>
      <c r="J36" s="22">
        <f t="shared" si="8"/>
        <v>2463.4822330221396</v>
      </c>
      <c r="K36" s="22">
        <f t="shared" si="8"/>
        <v>2552.1675934109367</v>
      </c>
      <c r="L36" s="22">
        <f t="shared" si="8"/>
        <v>2644.0456267737304</v>
      </c>
      <c r="M36" s="22">
        <f t="shared" si="8"/>
        <v>2739.2312693375848</v>
      </c>
      <c r="N36" s="22">
        <f t="shared" si="8"/>
        <v>2837.843595033738</v>
      </c>
      <c r="O36" s="22">
        <f t="shared" si="8"/>
        <v>2940.0059644549528</v>
      </c>
      <c r="P36" s="22">
        <f t="shared" si="8"/>
        <v>3045.8461791753311</v>
      </c>
      <c r="Q36" s="22">
        <f t="shared" si="8"/>
        <v>3155.496641625643</v>
      </c>
      <c r="R36" s="22">
        <f t="shared" si="8"/>
        <v>3269.0945207241662</v>
      </c>
      <c r="S36" s="22">
        <f t="shared" si="8"/>
        <v>3386.7819234702361</v>
      </c>
      <c r="T36" s="22">
        <f t="shared" si="8"/>
        <v>3508.7060727151647</v>
      </c>
      <c r="U36" s="22"/>
      <c r="V36" s="22"/>
      <c r="W36" s="22"/>
    </row>
    <row r="37" spans="1:25">
      <c r="A37" s="66"/>
      <c r="B37" s="35" t="s">
        <v>66</v>
      </c>
      <c r="C37">
        <v>636</v>
      </c>
      <c r="D37" s="22">
        <f t="shared" si="7"/>
        <v>762.37690778368255</v>
      </c>
      <c r="E37" s="22">
        <f t="shared" ref="E37:T37" si="9">E$53/D$53*D37</f>
        <v>768.77097852216752</v>
      </c>
      <c r="F37" s="22">
        <f t="shared" si="9"/>
        <v>794.90919179192122</v>
      </c>
      <c r="G37" s="22">
        <f t="shared" si="9"/>
        <v>823.52592269643037</v>
      </c>
      <c r="H37" s="22">
        <f t="shared" si="9"/>
        <v>853.17285591350185</v>
      </c>
      <c r="I37" s="22">
        <f t="shared" si="9"/>
        <v>883.88707872638793</v>
      </c>
      <c r="J37" s="22">
        <f t="shared" si="9"/>
        <v>915.70701356053792</v>
      </c>
      <c r="K37" s="22">
        <f t="shared" si="9"/>
        <v>948.6724660487173</v>
      </c>
      <c r="L37" s="22">
        <f t="shared" si="9"/>
        <v>982.8246748264711</v>
      </c>
      <c r="M37" s="22">
        <f t="shared" si="9"/>
        <v>1018.2063631202241</v>
      </c>
      <c r="N37" s="22">
        <f t="shared" si="9"/>
        <v>1054.8617921925522</v>
      </c>
      <c r="O37" s="22">
        <f t="shared" si="9"/>
        <v>1092.8368167114841</v>
      </c>
      <c r="P37" s="22">
        <f t="shared" si="9"/>
        <v>1132.1789421130975</v>
      </c>
      <c r="Q37" s="22">
        <f t="shared" si="9"/>
        <v>1172.9373840291689</v>
      </c>
      <c r="R37" s="22">
        <f t="shared" si="9"/>
        <v>1215.1631298542191</v>
      </c>
      <c r="S37" s="22">
        <f t="shared" si="9"/>
        <v>1258.9090025289711</v>
      </c>
      <c r="T37" s="22">
        <f t="shared" si="9"/>
        <v>1304.2297266200142</v>
      </c>
    </row>
    <row r="38" spans="1:25">
      <c r="A38" s="66"/>
      <c r="B38" s="35" t="s">
        <v>67</v>
      </c>
      <c r="C38">
        <v>1396</v>
      </c>
      <c r="D38" s="22">
        <f t="shared" si="7"/>
        <v>1673.3933384685863</v>
      </c>
      <c r="E38" s="22">
        <f t="shared" ref="E38:T38" si="10">E$53/D$53*D38</f>
        <v>1687.4281226681539</v>
      </c>
      <c r="F38" s="22">
        <f t="shared" si="10"/>
        <v>1744.8006788388711</v>
      </c>
      <c r="G38" s="22">
        <f t="shared" si="10"/>
        <v>1807.6135032770705</v>
      </c>
      <c r="H38" s="22">
        <f t="shared" si="10"/>
        <v>1872.6875893950451</v>
      </c>
      <c r="I38" s="22">
        <f t="shared" si="10"/>
        <v>1940.1043426132667</v>
      </c>
      <c r="J38" s="22">
        <f t="shared" si="10"/>
        <v>2009.9480989473443</v>
      </c>
      <c r="K38" s="22">
        <f t="shared" si="10"/>
        <v>2082.3062305094486</v>
      </c>
      <c r="L38" s="22">
        <f t="shared" si="10"/>
        <v>2157.2692548077889</v>
      </c>
      <c r="M38" s="22">
        <f t="shared" si="10"/>
        <v>2234.9309479808694</v>
      </c>
      <c r="N38" s="22">
        <f t="shared" si="10"/>
        <v>2315.3884621081806</v>
      </c>
      <c r="O38" s="22">
        <f t="shared" si="10"/>
        <v>2398.7424467440751</v>
      </c>
      <c r="P38" s="22">
        <f t="shared" si="10"/>
        <v>2485.0971748268621</v>
      </c>
      <c r="Q38" s="22">
        <f t="shared" si="10"/>
        <v>2574.5606731206294</v>
      </c>
      <c r="R38" s="22">
        <f t="shared" si="10"/>
        <v>2667.2448573529723</v>
      </c>
      <c r="S38" s="22">
        <f t="shared" si="10"/>
        <v>2763.2656722176794</v>
      </c>
      <c r="T38" s="22">
        <f t="shared" si="10"/>
        <v>2862.7432364175161</v>
      </c>
    </row>
    <row r="39" spans="1:25">
      <c r="A39" s="66"/>
      <c r="B39" s="35" t="s">
        <v>68</v>
      </c>
      <c r="C39">
        <v>774</v>
      </c>
      <c r="D39" s="22">
        <f t="shared" si="7"/>
        <v>927.79831230278353</v>
      </c>
      <c r="E39" s="22">
        <f t="shared" ref="E39:T39" si="11">E$53/D$53*D39</f>
        <v>935.57977574867562</v>
      </c>
      <c r="F39" s="22">
        <f t="shared" si="11"/>
        <v>967.38948812413059</v>
      </c>
      <c r="G39" s="22">
        <f t="shared" si="11"/>
        <v>1002.2155096965993</v>
      </c>
      <c r="H39" s="22">
        <f t="shared" si="11"/>
        <v>1038.2952680456769</v>
      </c>
      <c r="I39" s="22">
        <f t="shared" si="11"/>
        <v>1075.6738976953213</v>
      </c>
      <c r="J39" s="22">
        <f t="shared" si="11"/>
        <v>1114.398158012353</v>
      </c>
      <c r="K39" s="22">
        <f t="shared" si="11"/>
        <v>1154.5164917007976</v>
      </c>
      <c r="L39" s="22">
        <f t="shared" si="11"/>
        <v>1196.0790854020263</v>
      </c>
      <c r="M39" s="22">
        <f t="shared" si="11"/>
        <v>1239.1379324764994</v>
      </c>
      <c r="N39" s="22">
        <f t="shared" si="11"/>
        <v>1283.7468980456533</v>
      </c>
      <c r="O39" s="22">
        <f t="shared" si="11"/>
        <v>1329.9617863752969</v>
      </c>
      <c r="P39" s="22">
        <f t="shared" si="11"/>
        <v>1377.8404106848077</v>
      </c>
      <c r="Q39" s="22">
        <f t="shared" si="11"/>
        <v>1427.4426654694607</v>
      </c>
      <c r="R39" s="22">
        <f t="shared" si="11"/>
        <v>1478.8306014263615</v>
      </c>
      <c r="S39" s="22">
        <f t="shared" si="11"/>
        <v>1532.0685030777106</v>
      </c>
      <c r="T39" s="22">
        <f t="shared" si="11"/>
        <v>1587.2229691885082</v>
      </c>
    </row>
    <row r="40" spans="1:25">
      <c r="A40" s="66"/>
      <c r="B40" s="35" t="s">
        <v>69</v>
      </c>
      <c r="C40">
        <v>1392</v>
      </c>
      <c r="D40" s="22">
        <f t="shared" si="7"/>
        <v>1668.5985151491921</v>
      </c>
      <c r="E40" s="22">
        <f t="shared" ref="E40:T40" si="12">E$53/D$53*D40</f>
        <v>1682.5930850673856</v>
      </c>
      <c r="F40" s="22">
        <f t="shared" si="12"/>
        <v>1739.8012499596766</v>
      </c>
      <c r="G40" s="22">
        <f t="shared" si="12"/>
        <v>1802.4340949582249</v>
      </c>
      <c r="H40" s="22">
        <f t="shared" si="12"/>
        <v>1867.321722376721</v>
      </c>
      <c r="I40" s="22">
        <f t="shared" si="12"/>
        <v>1934.5453043822831</v>
      </c>
      <c r="J40" s="22">
        <f t="shared" si="12"/>
        <v>2004.1889353400454</v>
      </c>
      <c r="K40" s="22">
        <f t="shared" si="12"/>
        <v>2076.3397370122871</v>
      </c>
      <c r="L40" s="22">
        <f t="shared" si="12"/>
        <v>2151.0879675447295</v>
      </c>
      <c r="M40" s="22">
        <f t="shared" si="12"/>
        <v>2228.5271343763397</v>
      </c>
      <c r="N40" s="22">
        <f t="shared" si="12"/>
        <v>2308.7541112138879</v>
      </c>
      <c r="O40" s="22">
        <f t="shared" si="12"/>
        <v>2391.869259217588</v>
      </c>
      <c r="P40" s="22">
        <f t="shared" si="12"/>
        <v>2477.9765525494213</v>
      </c>
      <c r="Q40" s="22">
        <f t="shared" si="12"/>
        <v>2567.1837084412005</v>
      </c>
      <c r="R40" s="22">
        <f t="shared" si="12"/>
        <v>2659.6023219450835</v>
      </c>
      <c r="S40" s="22">
        <f t="shared" si="12"/>
        <v>2755.3480055351065</v>
      </c>
      <c r="T40" s="22">
        <f t="shared" si="12"/>
        <v>2854.5405337343705</v>
      </c>
    </row>
    <row r="41" spans="1:25">
      <c r="A41" s="66"/>
      <c r="B41" s="35" t="s">
        <v>70</v>
      </c>
      <c r="C41">
        <v>1499</v>
      </c>
      <c r="D41" s="22">
        <f t="shared" si="7"/>
        <v>1796.8600389429878</v>
      </c>
      <c r="E41" s="22">
        <f t="shared" ref="E41:T41" si="13">E$53/D$53*D41</f>
        <v>1811.9303408879389</v>
      </c>
      <c r="F41" s="22">
        <f t="shared" si="13"/>
        <v>1873.5359724781288</v>
      </c>
      <c r="G41" s="22">
        <f t="shared" si="13"/>
        <v>1940.9832674873414</v>
      </c>
      <c r="H41" s="22">
        <f t="shared" si="13"/>
        <v>2010.8586651168857</v>
      </c>
      <c r="I41" s="22">
        <f t="shared" si="13"/>
        <v>2083.2495770610935</v>
      </c>
      <c r="J41" s="22">
        <f t="shared" si="13"/>
        <v>2158.2465618352931</v>
      </c>
      <c r="K41" s="22">
        <f t="shared" si="13"/>
        <v>2235.9434380613638</v>
      </c>
      <c r="L41" s="22">
        <f t="shared" si="13"/>
        <v>2316.437401831573</v>
      </c>
      <c r="M41" s="22">
        <f t="shared" si="13"/>
        <v>2399.8291482975096</v>
      </c>
      <c r="N41" s="22">
        <f t="shared" si="13"/>
        <v>2486.22299763622</v>
      </c>
      <c r="O41" s="22">
        <f t="shared" si="13"/>
        <v>2575.7270255511239</v>
      </c>
      <c r="P41" s="22">
        <f t="shared" si="13"/>
        <v>2668.4531984709643</v>
      </c>
      <c r="Q41" s="22">
        <f t="shared" si="13"/>
        <v>2764.5175136159191</v>
      </c>
      <c r="R41" s="22">
        <f t="shared" si="13"/>
        <v>2864.0401441060922</v>
      </c>
      <c r="S41" s="22">
        <f t="shared" si="13"/>
        <v>2967.1455892939116</v>
      </c>
      <c r="T41" s="22">
        <f t="shared" si="13"/>
        <v>3073.9628305084925</v>
      </c>
    </row>
    <row r="42" spans="1:25">
      <c r="A42" s="66"/>
      <c r="B42" s="35" t="s">
        <v>71</v>
      </c>
      <c r="C42">
        <v>765</v>
      </c>
      <c r="D42" s="22">
        <f t="shared" si="7"/>
        <v>917.00995983414657</v>
      </c>
      <c r="E42" s="22">
        <f t="shared" ref="E42:T42" si="14">E$53/D$53*D42</f>
        <v>924.70094114694689</v>
      </c>
      <c r="F42" s="22">
        <f t="shared" si="14"/>
        <v>956.14077314594306</v>
      </c>
      <c r="G42" s="22">
        <f t="shared" si="14"/>
        <v>990.56184097919709</v>
      </c>
      <c r="H42" s="22">
        <f t="shared" si="14"/>
        <v>1026.2220672544481</v>
      </c>
      <c r="I42" s="22">
        <f t="shared" si="14"/>
        <v>1063.1660616756083</v>
      </c>
      <c r="J42" s="22">
        <f t="shared" si="14"/>
        <v>1101.4400398959301</v>
      </c>
      <c r="K42" s="22">
        <f t="shared" si="14"/>
        <v>1141.0918813321837</v>
      </c>
      <c r="L42" s="22">
        <f t="shared" si="14"/>
        <v>1182.1711890601423</v>
      </c>
      <c r="M42" s="22">
        <f t="shared" si="14"/>
        <v>1224.7293518663075</v>
      </c>
      <c r="N42" s="22">
        <f t="shared" si="14"/>
        <v>1268.8196085334946</v>
      </c>
      <c r="O42" s="22">
        <f t="shared" si="14"/>
        <v>1314.4971144407004</v>
      </c>
      <c r="P42" s="22">
        <f t="shared" si="14"/>
        <v>1361.8190105605656</v>
      </c>
      <c r="Q42" s="22">
        <f t="shared" si="14"/>
        <v>1410.844494940746</v>
      </c>
      <c r="R42" s="22">
        <f t="shared" si="14"/>
        <v>1461.634896758613</v>
      </c>
      <c r="S42" s="22">
        <f t="shared" si="14"/>
        <v>1514.2537530419231</v>
      </c>
      <c r="T42" s="22">
        <f t="shared" si="14"/>
        <v>1568.7668881514323</v>
      </c>
    </row>
    <row r="43" spans="1:25">
      <c r="A43" s="67"/>
      <c r="B43" s="36" t="s">
        <v>72</v>
      </c>
      <c r="C43">
        <v>251</v>
      </c>
      <c r="D43" s="22">
        <f t="shared" si="7"/>
        <v>300.87516329198797</v>
      </c>
      <c r="E43" s="22">
        <f t="shared" ref="E43:T43" si="15">E$53/D$53*D43</f>
        <v>303.39860944821396</v>
      </c>
      <c r="F43" s="22">
        <f t="shared" si="15"/>
        <v>313.71416216945323</v>
      </c>
      <c r="G43" s="22">
        <f t="shared" si="15"/>
        <v>325.00787200755354</v>
      </c>
      <c r="H43" s="22">
        <f t="shared" si="15"/>
        <v>336.7081553998255</v>
      </c>
      <c r="I43" s="22">
        <f t="shared" si="15"/>
        <v>348.82964899421921</v>
      </c>
      <c r="J43" s="22">
        <f t="shared" si="15"/>
        <v>361.38751635801111</v>
      </c>
      <c r="K43" s="22">
        <f t="shared" si="15"/>
        <v>374.3974669468995</v>
      </c>
      <c r="L43" s="22">
        <f t="shared" si="15"/>
        <v>387.87577575698788</v>
      </c>
      <c r="M43" s="22">
        <f t="shared" si="15"/>
        <v>401.83930368423944</v>
      </c>
      <c r="N43" s="22">
        <f t="shared" si="15"/>
        <v>416.30551861687206</v>
      </c>
      <c r="O43" s="22">
        <f t="shared" si="15"/>
        <v>431.29251728707948</v>
      </c>
      <c r="P43" s="22">
        <f t="shared" si="15"/>
        <v>446.81904790941434</v>
      </c>
      <c r="Q43" s="22">
        <f t="shared" si="15"/>
        <v>462.90453363415327</v>
      </c>
      <c r="R43" s="22">
        <f t="shared" si="15"/>
        <v>479.56909684498282</v>
      </c>
      <c r="S43" s="22">
        <f t="shared" si="15"/>
        <v>496.83358433140222</v>
      </c>
      <c r="T43" s="22">
        <f t="shared" si="15"/>
        <v>514.71959336733266</v>
      </c>
    </row>
    <row r="44" spans="1:25">
      <c r="A44" s="68" t="s">
        <v>56</v>
      </c>
      <c r="B44" s="32" t="s">
        <v>73</v>
      </c>
      <c r="C44">
        <f>968+482+312+642+1428+1164+131+68+56+102+19+67+68+73</f>
        <v>5580</v>
      </c>
      <c r="D44" s="22">
        <f t="shared" si="7"/>
        <v>6688.7785305549514</v>
      </c>
      <c r="E44" s="22">
        <f t="shared" ref="E44:T44" si="16">E$53/D$53*D44</f>
        <v>6744.8774530718474</v>
      </c>
      <c r="F44" s="22">
        <f t="shared" si="16"/>
        <v>6974.2032864762905</v>
      </c>
      <c r="G44" s="22">
        <f t="shared" si="16"/>
        <v>7225.274604789437</v>
      </c>
      <c r="H44" s="22">
        <f t="shared" si="16"/>
        <v>7485.3844905618571</v>
      </c>
      <c r="I44" s="22">
        <f t="shared" si="16"/>
        <v>7754.8583322220838</v>
      </c>
      <c r="J44" s="22">
        <f t="shared" si="16"/>
        <v>8034.0332321820788</v>
      </c>
      <c r="K44" s="22">
        <f t="shared" si="16"/>
        <v>8323.2584285406338</v>
      </c>
      <c r="L44" s="22">
        <f t="shared" si="16"/>
        <v>8622.8957319680976</v>
      </c>
      <c r="M44" s="22">
        <f t="shared" si="16"/>
        <v>8933.3199783189502</v>
      </c>
      <c r="N44" s="22">
        <f t="shared" si="16"/>
        <v>9254.9194975384326</v>
      </c>
      <c r="O44" s="22">
        <f t="shared" si="16"/>
        <v>9588.0965994498165</v>
      </c>
      <c r="P44" s="22">
        <f t="shared" si="16"/>
        <v>9933.2680770300103</v>
      </c>
      <c r="Q44" s="22">
        <f t="shared" si="16"/>
        <v>10290.865727803091</v>
      </c>
      <c r="R44" s="22">
        <f t="shared" si="16"/>
        <v>10661.336894004004</v>
      </c>
      <c r="S44" s="22">
        <f t="shared" si="16"/>
        <v>11045.145022188148</v>
      </c>
      <c r="T44" s="22">
        <f t="shared" si="16"/>
        <v>11442.770242986922</v>
      </c>
    </row>
    <row r="45" spans="1:25">
      <c r="A45" s="69"/>
      <c r="B45" s="33" t="s">
        <v>87</v>
      </c>
      <c r="C45">
        <f>1548+566+574+808+817+129+29</f>
        <v>4471</v>
      </c>
      <c r="D45" s="22">
        <f t="shared" si="7"/>
        <v>5359.4137652529007</v>
      </c>
      <c r="E45" s="22">
        <f t="shared" ref="E45:T45" si="17">E$53/D$53*D45</f>
        <v>5404.3632782588229</v>
      </c>
      <c r="F45" s="22">
        <f t="shared" si="17"/>
        <v>5588.1116297196231</v>
      </c>
      <c r="G45" s="22">
        <f t="shared" si="17"/>
        <v>5789.2836483895298</v>
      </c>
      <c r="H45" s="22">
        <f t="shared" si="17"/>
        <v>5997.6978597315529</v>
      </c>
      <c r="I45" s="22">
        <f t="shared" si="17"/>
        <v>6213.6149826818892</v>
      </c>
      <c r="J45" s="22">
        <f t="shared" si="17"/>
        <v>6437.3051220584375</v>
      </c>
      <c r="K45" s="22">
        <f t="shared" si="17"/>
        <v>6669.0481064525411</v>
      </c>
      <c r="L45" s="22">
        <f t="shared" si="17"/>
        <v>6909.1338382848326</v>
      </c>
      <c r="M45" s="22">
        <f t="shared" si="17"/>
        <v>7157.8626564630868</v>
      </c>
      <c r="N45" s="22">
        <f t="shared" si="17"/>
        <v>7415.5457120957581</v>
      </c>
      <c r="O45" s="22">
        <f t="shared" si="17"/>
        <v>7682.5053577312055</v>
      </c>
      <c r="P45" s="22">
        <f t="shared" si="17"/>
        <v>7959.0755506095293</v>
      </c>
      <c r="Q45" s="22">
        <f t="shared" si="17"/>
        <v>8245.6022704314728</v>
      </c>
      <c r="R45" s="22">
        <f t="shared" si="17"/>
        <v>8542.4439521670065</v>
      </c>
      <c r="S45" s="22">
        <f t="shared" si="17"/>
        <v>8849.9719344450186</v>
      </c>
      <c r="T45" s="22">
        <f t="shared" si="17"/>
        <v>9168.5709240850392</v>
      </c>
    </row>
    <row r="46" spans="1:25">
      <c r="A46" s="69"/>
      <c r="B46" s="33" t="s">
        <v>88</v>
      </c>
      <c r="C46">
        <v>5627</v>
      </c>
      <c r="D46" s="22">
        <f t="shared" si="7"/>
        <v>6745.1177045578333</v>
      </c>
      <c r="E46" s="22">
        <f t="shared" ref="E46:T46" si="18">E$53/D$53*D46</f>
        <v>6801.6891448808756</v>
      </c>
      <c r="F46" s="22">
        <f t="shared" si="18"/>
        <v>7032.9465758068254</v>
      </c>
      <c r="G46" s="22">
        <f t="shared" si="18"/>
        <v>7286.1326525358718</v>
      </c>
      <c r="H46" s="22">
        <f t="shared" si="18"/>
        <v>7548.4334280271632</v>
      </c>
      <c r="I46" s="22">
        <f t="shared" si="18"/>
        <v>7820.1770314361411</v>
      </c>
      <c r="J46" s="22">
        <f t="shared" si="18"/>
        <v>8101.703404567842</v>
      </c>
      <c r="K46" s="22">
        <f t="shared" si="18"/>
        <v>8393.3647271322843</v>
      </c>
      <c r="L46" s="22">
        <f t="shared" si="18"/>
        <v>8695.5258573090468</v>
      </c>
      <c r="M46" s="22">
        <f t="shared" si="18"/>
        <v>9008.5647881721725</v>
      </c>
      <c r="N46" s="22">
        <f t="shared" si="18"/>
        <v>9332.8731205463719</v>
      </c>
      <c r="O46" s="22">
        <f t="shared" si="18"/>
        <v>9668.8565528860418</v>
      </c>
      <c r="P46" s="22">
        <f t="shared" si="18"/>
        <v>10016.93538878994</v>
      </c>
      <c r="Q46" s="22">
        <f t="shared" si="18"/>
        <v>10377.545062786377</v>
      </c>
      <c r="R46" s="22">
        <f t="shared" si="18"/>
        <v>10751.136685046687</v>
      </c>
      <c r="S46" s="22">
        <f t="shared" si="18"/>
        <v>11138.177605708368</v>
      </c>
      <c r="T46" s="22">
        <f t="shared" si="18"/>
        <v>11539.15199951387</v>
      </c>
    </row>
    <row r="47" spans="1:25">
      <c r="A47" s="70"/>
      <c r="B47" s="34" t="s">
        <v>89</v>
      </c>
      <c r="C47">
        <f>2166+6009</f>
        <v>8175</v>
      </c>
      <c r="D47" s="22">
        <f t="shared" si="7"/>
        <v>9799.4201590119574</v>
      </c>
      <c r="E47" s="22">
        <f t="shared" ref="E47:T47" si="19">E$53/D$53*D47</f>
        <v>9881.6080965703131</v>
      </c>
      <c r="F47" s="22">
        <f t="shared" si="19"/>
        <v>10217.582771853704</v>
      </c>
      <c r="G47" s="22">
        <f t="shared" si="19"/>
        <v>10585.415751640438</v>
      </c>
      <c r="H47" s="22">
        <f t="shared" si="19"/>
        <v>10966.490718699493</v>
      </c>
      <c r="I47" s="22">
        <f t="shared" si="19"/>
        <v>11361.284384572675</v>
      </c>
      <c r="J47" s="22">
        <f t="shared" si="19"/>
        <v>11770.290622417291</v>
      </c>
      <c r="K47" s="22">
        <f t="shared" si="19"/>
        <v>12194.021084824313</v>
      </c>
      <c r="L47" s="22">
        <f t="shared" si="19"/>
        <v>12633.005843877989</v>
      </c>
      <c r="M47" s="22">
        <f t="shared" si="19"/>
        <v>13087.794054257596</v>
      </c>
      <c r="N47" s="22">
        <f t="shared" si="19"/>
        <v>13558.95464021087</v>
      </c>
      <c r="O47" s="22">
        <f t="shared" si="19"/>
        <v>14047.077007258462</v>
      </c>
      <c r="P47" s="22">
        <f t="shared" si="19"/>
        <v>14552.771779519768</v>
      </c>
      <c r="Q47" s="22">
        <f t="shared" si="19"/>
        <v>15076.67156358248</v>
      </c>
      <c r="R47" s="22">
        <f t="shared" si="19"/>
        <v>15619.43173987145</v>
      </c>
      <c r="S47" s="22">
        <f t="shared" si="19"/>
        <v>16181.731282506822</v>
      </c>
      <c r="T47" s="22">
        <f t="shared" si="19"/>
        <v>16764.273608677067</v>
      </c>
    </row>
    <row r="49" spans="2:29">
      <c r="B49" s="9" t="s">
        <v>57</v>
      </c>
      <c r="C49" s="22">
        <f>SUM(C36:C43)</f>
        <v>8424</v>
      </c>
      <c r="D49" s="22">
        <f t="shared" ref="D49:T49" si="20">SUM(D36:D43)</f>
        <v>10097.897910644249</v>
      </c>
      <c r="E49" s="22">
        <f t="shared" si="20"/>
        <v>10182.589187218144</v>
      </c>
      <c r="F49" s="22">
        <f t="shared" si="20"/>
        <v>10528.797219583561</v>
      </c>
      <c r="G49" s="22">
        <f t="shared" si="20"/>
        <v>10907.83391948857</v>
      </c>
      <c r="H49" s="22">
        <f t="shared" si="20"/>
        <v>11300.515940590158</v>
      </c>
      <c r="I49" s="22">
        <f t="shared" si="20"/>
        <v>11707.334514451402</v>
      </c>
      <c r="J49" s="22">
        <f t="shared" si="20"/>
        <v>12128.798556971653</v>
      </c>
      <c r="K49" s="22">
        <f t="shared" si="20"/>
        <v>12565.435305022635</v>
      </c>
      <c r="L49" s="22">
        <f t="shared" si="20"/>
        <v>13017.790976003447</v>
      </c>
      <c r="M49" s="22">
        <f t="shared" si="20"/>
        <v>13486.431451139575</v>
      </c>
      <c r="N49" s="22">
        <f t="shared" si="20"/>
        <v>13971.942983380599</v>
      </c>
      <c r="O49" s="22">
        <f t="shared" si="20"/>
        <v>14474.932930782303</v>
      </c>
      <c r="P49" s="22">
        <f t="shared" si="20"/>
        <v>14996.030516290464</v>
      </c>
      <c r="Q49" s="22">
        <f t="shared" si="20"/>
        <v>15535.887614876921</v>
      </c>
      <c r="R49" s="22">
        <f t="shared" si="20"/>
        <v>16095.179569012491</v>
      </c>
      <c r="S49" s="22">
        <f t="shared" si="20"/>
        <v>16674.606033496941</v>
      </c>
      <c r="T49" s="22">
        <f t="shared" si="20"/>
        <v>17274.891850702832</v>
      </c>
    </row>
    <row r="50" spans="2:29">
      <c r="B50" s="9" t="s">
        <v>58</v>
      </c>
      <c r="C50" s="22">
        <f>SUM(C44:C47)</f>
        <v>23853</v>
      </c>
      <c r="D50" s="22">
        <f t="shared" ref="D50:T50" si="21">SUM(D44:D47)</f>
        <v>28592.730159377643</v>
      </c>
      <c r="E50" s="22">
        <f t="shared" si="21"/>
        <v>28832.537972781858</v>
      </c>
      <c r="F50" s="22">
        <f t="shared" si="21"/>
        <v>29812.844263856445</v>
      </c>
      <c r="G50" s="22">
        <f t="shared" si="21"/>
        <v>30886.106657355274</v>
      </c>
      <c r="H50" s="22">
        <f t="shared" si="21"/>
        <v>31998.006497020066</v>
      </c>
      <c r="I50" s="22">
        <f t="shared" si="21"/>
        <v>33149.934730912792</v>
      </c>
      <c r="J50" s="22">
        <f t="shared" si="21"/>
        <v>34343.332381225649</v>
      </c>
      <c r="K50" s="22">
        <f t="shared" si="21"/>
        <v>35579.692346949771</v>
      </c>
      <c r="L50" s="22">
        <f t="shared" si="21"/>
        <v>36860.561271439961</v>
      </c>
      <c r="M50" s="22">
        <f t="shared" si="21"/>
        <v>38187.541477211809</v>
      </c>
      <c r="N50" s="22">
        <f t="shared" si="21"/>
        <v>39562.292970391427</v>
      </c>
      <c r="O50" s="22">
        <f t="shared" si="21"/>
        <v>40986.535517325523</v>
      </c>
      <c r="P50" s="22">
        <f t="shared" si="21"/>
        <v>42462.050795949246</v>
      </c>
      <c r="Q50" s="22">
        <f t="shared" si="21"/>
        <v>43990.684624603418</v>
      </c>
      <c r="R50" s="22">
        <f t="shared" si="21"/>
        <v>45574.349271089144</v>
      </c>
      <c r="S50" s="22">
        <f t="shared" si="21"/>
        <v>47215.025844848358</v>
      </c>
      <c r="T50" s="22">
        <f t="shared" si="21"/>
        <v>48914.766775262899</v>
      </c>
    </row>
    <row r="51" spans="2:29">
      <c r="B51" s="9" t="s">
        <v>61</v>
      </c>
      <c r="C51" s="22">
        <f>SUM(C49:C50)</f>
        <v>32277</v>
      </c>
      <c r="D51" s="22">
        <f>D53-D53*C52</f>
        <v>38690.628070021892</v>
      </c>
    </row>
    <row r="52" spans="2:29">
      <c r="B52" s="17" t="s">
        <v>98</v>
      </c>
      <c r="C52" s="31">
        <v>0.14099999999999999</v>
      </c>
      <c r="D52" s="22">
        <f>D53*$C$52</f>
        <v>6350.848146534443</v>
      </c>
      <c r="E52" s="22">
        <f t="shared" ref="E52:T52" si="22">E53*$C$52</f>
        <v>6404.1128399999998</v>
      </c>
      <c r="F52" s="22">
        <f t="shared" si="22"/>
        <v>6621.8526765600009</v>
      </c>
      <c r="G52" s="22">
        <f t="shared" si="22"/>
        <v>6860.2393729161604</v>
      </c>
      <c r="H52" s="22">
        <f t="shared" si="22"/>
        <v>7107.2079903411422</v>
      </c>
      <c r="I52" s="22">
        <f t="shared" si="22"/>
        <v>7363.0674779934243</v>
      </c>
      <c r="J52" s="22">
        <f t="shared" si="22"/>
        <v>7628.1379072011869</v>
      </c>
      <c r="K52" s="22">
        <f t="shared" si="22"/>
        <v>7902.7508718604304</v>
      </c>
      <c r="L52" s="22">
        <f t="shared" si="22"/>
        <v>8187.2499032474061</v>
      </c>
      <c r="M52" s="22">
        <f t="shared" si="22"/>
        <v>8481.9908997643124</v>
      </c>
      <c r="N52" s="22">
        <f t="shared" si="22"/>
        <v>8787.3425721558287</v>
      </c>
      <c r="O52" s="22">
        <f t="shared" si="22"/>
        <v>9103.6869047534401</v>
      </c>
      <c r="P52" s="22">
        <f t="shared" si="22"/>
        <v>9431.4196333245636</v>
      </c>
      <c r="Q52" s="22">
        <f t="shared" si="22"/>
        <v>9770.9507401242481</v>
      </c>
      <c r="R52" s="22">
        <f t="shared" si="22"/>
        <v>10122.704966768721</v>
      </c>
      <c r="S52" s="22">
        <f t="shared" si="22"/>
        <v>10487.122345572394</v>
      </c>
      <c r="T52" s="22">
        <f t="shared" si="22"/>
        <v>10864.658750013001</v>
      </c>
    </row>
    <row r="53" spans="2:29">
      <c r="B53" s="9" t="s">
        <v>60</v>
      </c>
      <c r="D53" s="22">
        <v>45041.476216556337</v>
      </c>
      <c r="E53" s="22">
        <f>E55*0.68</f>
        <v>45419.240000000005</v>
      </c>
      <c r="F53" s="22">
        <f>E53*(1+F54)</f>
        <v>46963.494160000009</v>
      </c>
      <c r="G53" s="22">
        <f>F53*(1+G54)</f>
        <v>48654.179949760008</v>
      </c>
      <c r="H53" s="22">
        <f t="shared" ref="H53:T53" si="23">G53*(1+H54)</f>
        <v>50405.73042795137</v>
      </c>
      <c r="I53" s="22">
        <f t="shared" si="23"/>
        <v>52220.336723357621</v>
      </c>
      <c r="J53" s="22">
        <f t="shared" si="23"/>
        <v>54100.268845398496</v>
      </c>
      <c r="K53" s="22">
        <f t="shared" si="23"/>
        <v>56047.878523832842</v>
      </c>
      <c r="L53" s="22">
        <f t="shared" si="23"/>
        <v>58065.602150690829</v>
      </c>
      <c r="M53" s="22">
        <f t="shared" si="23"/>
        <v>60155.963828115702</v>
      </c>
      <c r="N53" s="22">
        <f t="shared" si="23"/>
        <v>62321.578525927871</v>
      </c>
      <c r="O53" s="22">
        <f t="shared" si="23"/>
        <v>64565.155352861279</v>
      </c>
      <c r="P53" s="22">
        <f t="shared" si="23"/>
        <v>66889.500945564287</v>
      </c>
      <c r="Q53" s="22">
        <f t="shared" si="23"/>
        <v>69297.522979604604</v>
      </c>
      <c r="R53" s="22">
        <f t="shared" si="23"/>
        <v>71792.233806870368</v>
      </c>
      <c r="S53" s="22">
        <f t="shared" si="23"/>
        <v>74376.754223917698</v>
      </c>
      <c r="T53" s="22">
        <f t="shared" si="23"/>
        <v>77054.317375978731</v>
      </c>
    </row>
    <row r="54" spans="2:29">
      <c r="B54" s="9" t="s">
        <v>59</v>
      </c>
      <c r="F54" s="25">
        <v>3.4000000000000002E-2</v>
      </c>
      <c r="G54" s="25">
        <v>3.5999999999999997E-2</v>
      </c>
      <c r="H54" s="25">
        <v>3.5999999999999997E-2</v>
      </c>
      <c r="I54" s="25">
        <v>3.5999999999999997E-2</v>
      </c>
      <c r="J54" s="25">
        <v>3.5999999999999997E-2</v>
      </c>
      <c r="K54" s="25">
        <v>3.5999999999999997E-2</v>
      </c>
      <c r="L54" s="25">
        <v>3.5999999999999997E-2</v>
      </c>
      <c r="M54" s="25">
        <v>3.5999999999999997E-2</v>
      </c>
      <c r="N54" s="25">
        <v>3.5999999999999997E-2</v>
      </c>
      <c r="O54" s="25">
        <v>3.5999999999999997E-2</v>
      </c>
      <c r="P54" s="25">
        <v>3.5999999999999997E-2</v>
      </c>
      <c r="Q54" s="25">
        <v>3.5999999999999997E-2</v>
      </c>
      <c r="R54" s="25">
        <v>3.5999999999999997E-2</v>
      </c>
      <c r="S54" s="25">
        <v>3.5999999999999997E-2</v>
      </c>
      <c r="T54" s="25">
        <v>3.5999999999999997E-2</v>
      </c>
      <c r="U54" s="25">
        <v>3.5999999999999997E-2</v>
      </c>
      <c r="V54" s="25">
        <v>3.5999999999999997E-2</v>
      </c>
      <c r="W54" s="25">
        <v>3.5999999999999997E-2</v>
      </c>
      <c r="X54" s="25">
        <v>3.5999999999999997E-2</v>
      </c>
      <c r="Y54" s="25">
        <v>3.5999999999999997E-2</v>
      </c>
      <c r="Z54" s="25">
        <v>3.5999999999999997E-2</v>
      </c>
      <c r="AA54" s="25">
        <v>3.5999999999999997E-2</v>
      </c>
      <c r="AB54" s="25">
        <v>3.5999999999999997E-2</v>
      </c>
      <c r="AC54" s="25">
        <v>3.5999999999999997E-2</v>
      </c>
    </row>
    <row r="55" spans="2:29">
      <c r="B55" s="9" t="s">
        <v>64</v>
      </c>
      <c r="D55" s="22">
        <f>D53/E53*E55</f>
        <v>66237.465024347548</v>
      </c>
      <c r="E55" s="22">
        <v>66793</v>
      </c>
    </row>
    <row r="56" spans="2:29">
      <c r="D56" s="22"/>
    </row>
    <row r="57" spans="2:29">
      <c r="C57" s="26"/>
      <c r="F57" s="28"/>
      <c r="G57" s="28"/>
      <c r="H57" s="28"/>
      <c r="I57" s="28"/>
      <c r="J57" s="28"/>
    </row>
    <row r="60" spans="2:29">
      <c r="B60" s="20" t="s">
        <v>74</v>
      </c>
    </row>
    <row r="61" spans="2:29">
      <c r="B61" s="9" t="s">
        <v>75</v>
      </c>
    </row>
    <row r="63" spans="2:29">
      <c r="B63" s="9" t="s">
        <v>76</v>
      </c>
      <c r="F63" s="22">
        <f>F26</f>
        <v>49600</v>
      </c>
      <c r="G63" s="22">
        <f t="shared" ref="G63:T63" si="24">G26</f>
        <v>49000</v>
      </c>
      <c r="H63" s="22">
        <f t="shared" si="24"/>
        <v>48200</v>
      </c>
      <c r="I63" s="22">
        <f t="shared" si="24"/>
        <v>44700</v>
      </c>
      <c r="J63" s="22">
        <f t="shared" si="24"/>
        <v>43800</v>
      </c>
      <c r="K63" s="22">
        <f t="shared" si="24"/>
        <v>42900</v>
      </c>
      <c r="L63" s="22">
        <f t="shared" si="24"/>
        <v>42900</v>
      </c>
      <c r="M63" s="22">
        <f t="shared" si="24"/>
        <v>41600</v>
      </c>
      <c r="N63" s="22">
        <f t="shared" si="24"/>
        <v>41100</v>
      </c>
      <c r="O63" s="22">
        <f t="shared" si="24"/>
        <v>40700</v>
      </c>
      <c r="P63" s="22">
        <f t="shared" si="24"/>
        <v>40500</v>
      </c>
      <c r="Q63" s="22">
        <f t="shared" si="24"/>
        <v>40200</v>
      </c>
      <c r="R63" s="22">
        <f t="shared" si="24"/>
        <v>40200</v>
      </c>
      <c r="S63" s="22">
        <f t="shared" si="24"/>
        <v>39000</v>
      </c>
      <c r="T63" s="22">
        <f t="shared" si="24"/>
        <v>37900</v>
      </c>
    </row>
    <row r="64" spans="2:29">
      <c r="B64" s="9" t="s">
        <v>79</v>
      </c>
      <c r="F64" s="22">
        <f>F30+F29+F27+F32</f>
        <v>49600</v>
      </c>
      <c r="G64" s="22">
        <f t="shared" ref="G64:T64" si="25">G30+G29+G27+G32</f>
        <v>49000</v>
      </c>
      <c r="H64" s="22">
        <f t="shared" si="25"/>
        <v>48200</v>
      </c>
      <c r="I64" s="22">
        <f t="shared" si="25"/>
        <v>44700</v>
      </c>
      <c r="J64" s="22">
        <f t="shared" si="25"/>
        <v>41603.666666666664</v>
      </c>
      <c r="K64" s="22">
        <f t="shared" si="25"/>
        <v>38507.333333333336</v>
      </c>
      <c r="L64" s="22">
        <f t="shared" si="25"/>
        <v>36311</v>
      </c>
      <c r="M64" s="22">
        <f t="shared" si="25"/>
        <v>35011</v>
      </c>
      <c r="N64" s="22">
        <f t="shared" si="25"/>
        <v>34511</v>
      </c>
      <c r="O64" s="22">
        <f t="shared" si="25"/>
        <v>34111</v>
      </c>
      <c r="P64" s="22">
        <f t="shared" si="25"/>
        <v>33911</v>
      </c>
      <c r="Q64" s="22">
        <f t="shared" si="25"/>
        <v>33611</v>
      </c>
      <c r="R64" s="22">
        <f t="shared" si="25"/>
        <v>33611</v>
      </c>
      <c r="S64" s="22">
        <f t="shared" si="25"/>
        <v>32411</v>
      </c>
      <c r="T64" s="22">
        <f t="shared" si="25"/>
        <v>31311</v>
      </c>
    </row>
    <row r="65" spans="2:20">
      <c r="B65" s="9" t="s">
        <v>90</v>
      </c>
      <c r="F65" s="22">
        <f>F30+F29+F28+F33</f>
        <v>49600</v>
      </c>
      <c r="G65" s="22">
        <f t="shared" ref="G65:T65" si="26">G30+G29+G28+G33</f>
        <v>49000</v>
      </c>
      <c r="H65" s="22">
        <f t="shared" si="26"/>
        <v>48200</v>
      </c>
      <c r="I65" s="22">
        <f t="shared" si="26"/>
        <v>43090.5</v>
      </c>
      <c r="J65" s="22">
        <f t="shared" si="26"/>
        <v>40581</v>
      </c>
      <c r="K65" s="22">
        <f t="shared" si="26"/>
        <v>38071.5</v>
      </c>
      <c r="L65" s="22">
        <f t="shared" si="26"/>
        <v>36462</v>
      </c>
      <c r="M65" s="22">
        <f t="shared" si="26"/>
        <v>35162</v>
      </c>
      <c r="N65" s="22">
        <f t="shared" si="26"/>
        <v>34662</v>
      </c>
      <c r="O65" s="22">
        <f t="shared" si="26"/>
        <v>34262</v>
      </c>
      <c r="P65" s="22">
        <f t="shared" si="26"/>
        <v>34062</v>
      </c>
      <c r="Q65" s="22">
        <f t="shared" si="26"/>
        <v>33762</v>
      </c>
      <c r="R65" s="22">
        <f t="shared" si="26"/>
        <v>33762</v>
      </c>
      <c r="S65" s="22">
        <f t="shared" si="26"/>
        <v>32562</v>
      </c>
      <c r="T65" s="22">
        <f t="shared" si="26"/>
        <v>31462</v>
      </c>
    </row>
    <row r="66" spans="2:20">
      <c r="B66" s="9" t="s">
        <v>77</v>
      </c>
      <c r="F66" s="22">
        <f>F30+F29+F32+F33</f>
        <v>49600</v>
      </c>
      <c r="G66" s="22">
        <f t="shared" ref="G66:T66" si="27">G30+G29+G32+G33</f>
        <v>49000</v>
      </c>
      <c r="H66" s="22">
        <f t="shared" si="27"/>
        <v>48200</v>
      </c>
      <c r="I66" s="22">
        <f t="shared" si="27"/>
        <v>43090.5</v>
      </c>
      <c r="J66" s="22">
        <f t="shared" si="27"/>
        <v>38384.666666666664</v>
      </c>
      <c r="K66" s="22">
        <f t="shared" si="27"/>
        <v>33678.833333333328</v>
      </c>
      <c r="L66" s="22">
        <f t="shared" si="27"/>
        <v>29873</v>
      </c>
      <c r="M66" s="22">
        <f t="shared" si="27"/>
        <v>28573</v>
      </c>
      <c r="N66" s="22">
        <f t="shared" si="27"/>
        <v>28073</v>
      </c>
      <c r="O66" s="22">
        <f t="shared" si="27"/>
        <v>27673</v>
      </c>
      <c r="P66" s="22">
        <f t="shared" si="27"/>
        <v>27473</v>
      </c>
      <c r="Q66" s="22">
        <f t="shared" si="27"/>
        <v>27173</v>
      </c>
      <c r="R66" s="22">
        <f t="shared" si="27"/>
        <v>27173</v>
      </c>
      <c r="S66" s="22">
        <f t="shared" si="27"/>
        <v>25973</v>
      </c>
      <c r="T66" s="22">
        <f t="shared" si="27"/>
        <v>24873</v>
      </c>
    </row>
    <row r="70" spans="2:20" s="54" customFormat="1">
      <c r="B70" s="52" t="s">
        <v>99</v>
      </c>
      <c r="C70" s="52" t="s">
        <v>81</v>
      </c>
      <c r="D70" s="52" t="s">
        <v>82</v>
      </c>
      <c r="F70" s="71" t="s">
        <v>81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>
      <c r="B71" s="47" t="str">
        <f>B36</f>
        <v>AT ≥ 1.501 kW </v>
      </c>
      <c r="C71" s="48">
        <v>0.05</v>
      </c>
      <c r="D71" s="49">
        <f>1-C71</f>
        <v>0.95</v>
      </c>
      <c r="F71" s="22">
        <f>$D71*F36</f>
        <v>2031.5804179216641</v>
      </c>
      <c r="G71" s="22">
        <f t="shared" ref="G71:S71" si="28">$D71*G36</f>
        <v>2104.717312966844</v>
      </c>
      <c r="H71" s="22">
        <f t="shared" si="28"/>
        <v>2180.4871362336507</v>
      </c>
      <c r="I71" s="22">
        <f t="shared" si="28"/>
        <v>2258.9846731380621</v>
      </c>
      <c r="J71" s="22">
        <f t="shared" si="28"/>
        <v>2340.3081213710325</v>
      </c>
      <c r="K71" s="22">
        <f t="shared" si="28"/>
        <v>2424.5592137403896</v>
      </c>
      <c r="L71" s="22">
        <f t="shared" si="28"/>
        <v>2511.8433454350438</v>
      </c>
      <c r="M71" s="22">
        <f t="shared" si="28"/>
        <v>2602.2697058707054</v>
      </c>
      <c r="N71" s="22">
        <f t="shared" si="28"/>
        <v>2695.9514152820511</v>
      </c>
      <c r="O71" s="22">
        <f t="shared" si="28"/>
        <v>2793.0056662322049</v>
      </c>
      <c r="P71" s="22">
        <f t="shared" si="28"/>
        <v>2893.5538702165645</v>
      </c>
      <c r="Q71" s="22">
        <f t="shared" si="28"/>
        <v>2997.7218095443604</v>
      </c>
      <c r="R71" s="22">
        <f t="shared" si="28"/>
        <v>3105.6397946879579</v>
      </c>
      <c r="S71" s="22">
        <f t="shared" si="28"/>
        <v>3217.4428272967243</v>
      </c>
      <c r="T71" s="22">
        <f>$D71*T36</f>
        <v>3333.2707690794064</v>
      </c>
    </row>
    <row r="72" spans="2:20">
      <c r="B72" s="47" t="str">
        <f t="shared" ref="B72:B82" si="29">B37</f>
        <v>AT 1.001 a 1.500 kW </v>
      </c>
      <c r="C72" s="48">
        <v>0.05</v>
      </c>
      <c r="D72" s="49">
        <f t="shared" ref="D72:D82" si="30">1-C72</f>
        <v>0.95</v>
      </c>
      <c r="F72" s="22">
        <f t="shared" ref="F72:S82" si="31">$D72*F37</f>
        <v>755.16373220232515</v>
      </c>
      <c r="G72" s="22">
        <f t="shared" si="31"/>
        <v>782.34962656160883</v>
      </c>
      <c r="H72" s="22">
        <f t="shared" si="31"/>
        <v>810.51421311782667</v>
      </c>
      <c r="I72" s="22">
        <f t="shared" si="31"/>
        <v>839.6927247900685</v>
      </c>
      <c r="J72" s="22">
        <f t="shared" si="31"/>
        <v>869.92166288251099</v>
      </c>
      <c r="K72" s="22">
        <f t="shared" si="31"/>
        <v>901.23884274628142</v>
      </c>
      <c r="L72" s="22">
        <f t="shared" si="31"/>
        <v>933.68344108514748</v>
      </c>
      <c r="M72" s="22">
        <f t="shared" si="31"/>
        <v>967.2960449642128</v>
      </c>
      <c r="N72" s="22">
        <f t="shared" si="31"/>
        <v>1002.1187025829246</v>
      </c>
      <c r="O72" s="22">
        <f t="shared" si="31"/>
        <v>1038.1949758759099</v>
      </c>
      <c r="P72" s="22">
        <f t="shared" si="31"/>
        <v>1075.5699950074425</v>
      </c>
      <c r="Q72" s="22">
        <f t="shared" si="31"/>
        <v>1114.2905148277105</v>
      </c>
      <c r="R72" s="22">
        <f t="shared" si="31"/>
        <v>1154.4049733615082</v>
      </c>
      <c r="S72" s="22">
        <f t="shared" si="31"/>
        <v>1195.9635524025225</v>
      </c>
      <c r="T72" s="22">
        <f t="shared" ref="T72" si="32">$D72*T37</f>
        <v>1239.0182402890134</v>
      </c>
    </row>
    <row r="73" spans="2:20">
      <c r="B73" s="47" t="str">
        <f t="shared" si="29"/>
        <v>AT 501 a 1.000 kW </v>
      </c>
      <c r="C73" s="48">
        <v>0.05</v>
      </c>
      <c r="D73" s="49">
        <f t="shared" si="30"/>
        <v>0.95</v>
      </c>
      <c r="F73" s="22">
        <f t="shared" si="31"/>
        <v>1657.5606448969274</v>
      </c>
      <c r="G73" s="22">
        <f t="shared" si="31"/>
        <v>1717.232828113217</v>
      </c>
      <c r="H73" s="22">
        <f t="shared" si="31"/>
        <v>1779.0532099252928</v>
      </c>
      <c r="I73" s="22">
        <f t="shared" si="31"/>
        <v>1843.0991254826033</v>
      </c>
      <c r="J73" s="22">
        <f t="shared" si="31"/>
        <v>1909.4506939999769</v>
      </c>
      <c r="K73" s="22">
        <f t="shared" si="31"/>
        <v>1978.190918983976</v>
      </c>
      <c r="L73" s="22">
        <f t="shared" si="31"/>
        <v>2049.4057920673995</v>
      </c>
      <c r="M73" s="22">
        <f t="shared" si="31"/>
        <v>2123.1844005818257</v>
      </c>
      <c r="N73" s="22">
        <f t="shared" si="31"/>
        <v>2199.6190390027714</v>
      </c>
      <c r="O73" s="22">
        <f t="shared" si="31"/>
        <v>2278.805324406871</v>
      </c>
      <c r="P73" s="22">
        <f t="shared" si="31"/>
        <v>2360.8423160855191</v>
      </c>
      <c r="Q73" s="22">
        <f t="shared" si="31"/>
        <v>2445.8326394645978</v>
      </c>
      <c r="R73" s="22">
        <f t="shared" si="31"/>
        <v>2533.8826144853238</v>
      </c>
      <c r="S73" s="22">
        <f t="shared" si="31"/>
        <v>2625.1023886067951</v>
      </c>
      <c r="T73" s="22">
        <f t="shared" ref="T73" si="33">$D73*T38</f>
        <v>2719.6060745966402</v>
      </c>
    </row>
    <row r="74" spans="2:20">
      <c r="B74" s="47" t="str">
        <f t="shared" si="29"/>
        <v>AT 301 a 500 kW </v>
      </c>
      <c r="C74" s="48">
        <v>0.05</v>
      </c>
      <c r="D74" s="49">
        <f t="shared" si="30"/>
        <v>0.95</v>
      </c>
      <c r="F74" s="22">
        <f t="shared" si="31"/>
        <v>919.02001371792403</v>
      </c>
      <c r="G74" s="22">
        <f t="shared" si="31"/>
        <v>952.10473421176926</v>
      </c>
      <c r="H74" s="22">
        <f t="shared" si="31"/>
        <v>986.38050464339301</v>
      </c>
      <c r="I74" s="22">
        <f t="shared" si="31"/>
        <v>1021.8902028105553</v>
      </c>
      <c r="J74" s="22">
        <f t="shared" si="31"/>
        <v>1058.6782501117352</v>
      </c>
      <c r="K74" s="22">
        <f t="shared" si="31"/>
        <v>1096.7906671157577</v>
      </c>
      <c r="L74" s="22">
        <f t="shared" si="31"/>
        <v>1136.275131131925</v>
      </c>
      <c r="M74" s="22">
        <f t="shared" si="31"/>
        <v>1177.1810358526743</v>
      </c>
      <c r="N74" s="22">
        <f t="shared" si="31"/>
        <v>1219.5595531433705</v>
      </c>
      <c r="O74" s="22">
        <f t="shared" si="31"/>
        <v>1263.4636970565321</v>
      </c>
      <c r="P74" s="22">
        <f t="shared" si="31"/>
        <v>1308.9483901505673</v>
      </c>
      <c r="Q74" s="22">
        <f t="shared" si="31"/>
        <v>1356.0705321959877</v>
      </c>
      <c r="R74" s="22">
        <f t="shared" si="31"/>
        <v>1404.8890713550434</v>
      </c>
      <c r="S74" s="22">
        <f t="shared" si="31"/>
        <v>1455.465077923825</v>
      </c>
      <c r="T74" s="22">
        <f t="shared" ref="T74" si="34">$D74*T39</f>
        <v>1507.8618207290826</v>
      </c>
    </row>
    <row r="75" spans="2:20">
      <c r="B75" s="47" t="str">
        <f t="shared" si="29"/>
        <v>AT 201 a 300 kW </v>
      </c>
      <c r="C75" s="48">
        <v>0.05</v>
      </c>
      <c r="D75" s="49">
        <f t="shared" si="30"/>
        <v>0.95</v>
      </c>
      <c r="F75" s="22">
        <f t="shared" si="31"/>
        <v>1652.8111874616927</v>
      </c>
      <c r="G75" s="22">
        <f t="shared" si="31"/>
        <v>1712.3123902103137</v>
      </c>
      <c r="H75" s="22">
        <f t="shared" si="31"/>
        <v>1773.9556362578849</v>
      </c>
      <c r="I75" s="22">
        <f t="shared" si="31"/>
        <v>1837.8180391631688</v>
      </c>
      <c r="J75" s="22">
        <f t="shared" si="31"/>
        <v>1903.979488573043</v>
      </c>
      <c r="K75" s="22">
        <f t="shared" si="31"/>
        <v>1972.5227501616725</v>
      </c>
      <c r="L75" s="22">
        <f t="shared" si="31"/>
        <v>2043.5335691674929</v>
      </c>
      <c r="M75" s="22">
        <f t="shared" si="31"/>
        <v>2117.1007776575225</v>
      </c>
      <c r="N75" s="22">
        <f t="shared" si="31"/>
        <v>2193.3164056531932</v>
      </c>
      <c r="O75" s="22">
        <f t="shared" si="31"/>
        <v>2272.2757962567084</v>
      </c>
      <c r="P75" s="22">
        <f t="shared" si="31"/>
        <v>2354.07772492195</v>
      </c>
      <c r="Q75" s="22">
        <f t="shared" si="31"/>
        <v>2438.8245230191401</v>
      </c>
      <c r="R75" s="22">
        <f t="shared" si="31"/>
        <v>2526.6222058478293</v>
      </c>
      <c r="S75" s="22">
        <f t="shared" si="31"/>
        <v>2617.5806052583512</v>
      </c>
      <c r="T75" s="22">
        <f t="shared" ref="T75" si="35">$D75*T40</f>
        <v>2711.8135070476519</v>
      </c>
    </row>
    <row r="76" spans="2:20">
      <c r="B76" s="47" t="str">
        <f t="shared" si="29"/>
        <v>AT 101 a 200 kW </v>
      </c>
      <c r="C76" s="48">
        <v>0.05</v>
      </c>
      <c r="D76" s="49">
        <f t="shared" si="30"/>
        <v>0.95</v>
      </c>
      <c r="F76" s="22">
        <f t="shared" si="31"/>
        <v>1779.8591738542223</v>
      </c>
      <c r="G76" s="22">
        <f t="shared" si="31"/>
        <v>1843.9341041129742</v>
      </c>
      <c r="H76" s="22">
        <f t="shared" si="31"/>
        <v>1910.3157318610413</v>
      </c>
      <c r="I76" s="22">
        <f t="shared" si="31"/>
        <v>1979.0870982080387</v>
      </c>
      <c r="J76" s="22">
        <f t="shared" si="31"/>
        <v>2050.3342337435283</v>
      </c>
      <c r="K76" s="22">
        <f t="shared" si="31"/>
        <v>2124.1462661582955</v>
      </c>
      <c r="L76" s="22">
        <f t="shared" si="31"/>
        <v>2200.6155317399944</v>
      </c>
      <c r="M76" s="22">
        <f t="shared" si="31"/>
        <v>2279.837690882634</v>
      </c>
      <c r="N76" s="22">
        <f t="shared" si="31"/>
        <v>2361.9118477544089</v>
      </c>
      <c r="O76" s="22">
        <f t="shared" si="31"/>
        <v>2446.9406742735678</v>
      </c>
      <c r="P76" s="22">
        <f t="shared" si="31"/>
        <v>2535.0305385474157</v>
      </c>
      <c r="Q76" s="22">
        <f t="shared" si="31"/>
        <v>2626.2916379351232</v>
      </c>
      <c r="R76" s="22">
        <f t="shared" si="31"/>
        <v>2720.8381369007875</v>
      </c>
      <c r="S76" s="22">
        <f t="shared" si="31"/>
        <v>2818.7883098292159</v>
      </c>
      <c r="T76" s="22">
        <f t="shared" ref="T76" si="36">$D76*T41</f>
        <v>2920.2646889830676</v>
      </c>
    </row>
    <row r="77" spans="2:20">
      <c r="B77" s="47" t="str">
        <f t="shared" si="29"/>
        <v>AT 51 a 100 kW </v>
      </c>
      <c r="C77" s="48">
        <v>0.05</v>
      </c>
      <c r="D77" s="49">
        <f t="shared" si="30"/>
        <v>0.95</v>
      </c>
      <c r="F77" s="22">
        <f t="shared" si="31"/>
        <v>908.33373448864586</v>
      </c>
      <c r="G77" s="22">
        <f t="shared" si="31"/>
        <v>941.03374893023715</v>
      </c>
      <c r="H77" s="22">
        <f t="shared" si="31"/>
        <v>974.91096389172571</v>
      </c>
      <c r="I77" s="22">
        <f t="shared" si="31"/>
        <v>1010.0077585918278</v>
      </c>
      <c r="J77" s="22">
        <f t="shared" si="31"/>
        <v>1046.3680379011334</v>
      </c>
      <c r="K77" s="22">
        <f t="shared" si="31"/>
        <v>1084.0372872655744</v>
      </c>
      <c r="L77" s="22">
        <f t="shared" si="31"/>
        <v>1123.062629607135</v>
      </c>
      <c r="M77" s="22">
        <f t="shared" si="31"/>
        <v>1163.4928842729921</v>
      </c>
      <c r="N77" s="22">
        <f t="shared" si="31"/>
        <v>1205.3786281068199</v>
      </c>
      <c r="O77" s="22">
        <f t="shared" si="31"/>
        <v>1248.7722587186654</v>
      </c>
      <c r="P77" s="22">
        <f t="shared" si="31"/>
        <v>1293.7280600325373</v>
      </c>
      <c r="Q77" s="22">
        <f t="shared" si="31"/>
        <v>1340.3022701937086</v>
      </c>
      <c r="R77" s="22">
        <f t="shared" si="31"/>
        <v>1388.5531519206822</v>
      </c>
      <c r="S77" s="22">
        <f t="shared" si="31"/>
        <v>1438.5410653898268</v>
      </c>
      <c r="T77" s="22">
        <f t="shared" ref="T77" si="37">$D77*T42</f>
        <v>1490.3285437438606</v>
      </c>
    </row>
    <row r="78" spans="2:20">
      <c r="B78" s="47" t="str">
        <f t="shared" si="29"/>
        <v>AT ≤ 50 kW </v>
      </c>
      <c r="C78" s="48">
        <v>0.05</v>
      </c>
      <c r="D78" s="49">
        <f t="shared" si="30"/>
        <v>0.95</v>
      </c>
      <c r="F78" s="22">
        <f t="shared" si="31"/>
        <v>298.02845406098055</v>
      </c>
      <c r="G78" s="22">
        <f t="shared" si="31"/>
        <v>308.75747840717582</v>
      </c>
      <c r="H78" s="22">
        <f t="shared" si="31"/>
        <v>319.87274762983424</v>
      </c>
      <c r="I78" s="22">
        <f t="shared" si="31"/>
        <v>331.38816654450824</v>
      </c>
      <c r="J78" s="22">
        <f t="shared" si="31"/>
        <v>343.31814054011056</v>
      </c>
      <c r="K78" s="22">
        <f t="shared" si="31"/>
        <v>355.67759359955448</v>
      </c>
      <c r="L78" s="22">
        <f t="shared" si="31"/>
        <v>368.48198696913846</v>
      </c>
      <c r="M78" s="22">
        <f t="shared" si="31"/>
        <v>381.74733850002747</v>
      </c>
      <c r="N78" s="22">
        <f t="shared" si="31"/>
        <v>395.49024268602847</v>
      </c>
      <c r="O78" s="22">
        <f t="shared" si="31"/>
        <v>409.72789142272546</v>
      </c>
      <c r="P78" s="22">
        <f t="shared" si="31"/>
        <v>424.47809551394363</v>
      </c>
      <c r="Q78" s="22">
        <f t="shared" si="31"/>
        <v>439.75930695244557</v>
      </c>
      <c r="R78" s="22">
        <f t="shared" si="31"/>
        <v>455.59064200273366</v>
      </c>
      <c r="S78" s="22">
        <f t="shared" si="31"/>
        <v>471.99190511483209</v>
      </c>
      <c r="T78" s="22">
        <f t="shared" ref="T78" si="38">$D78*T43</f>
        <v>488.983613698966</v>
      </c>
    </row>
    <row r="79" spans="2:20">
      <c r="B79" s="47" t="str">
        <f t="shared" si="29"/>
        <v>BT ≥ 1.001 kWh</v>
      </c>
      <c r="C79" s="48">
        <v>0.25</v>
      </c>
      <c r="D79" s="49">
        <f t="shared" si="30"/>
        <v>0.75</v>
      </c>
      <c r="F79" s="22">
        <f t="shared" si="31"/>
        <v>5230.6524648572176</v>
      </c>
      <c r="G79" s="22">
        <f t="shared" si="31"/>
        <v>5418.955953592078</v>
      </c>
      <c r="H79" s="22">
        <f t="shared" si="31"/>
        <v>5614.0383679213928</v>
      </c>
      <c r="I79" s="22">
        <f t="shared" si="31"/>
        <v>5816.1437491665629</v>
      </c>
      <c r="J79" s="22">
        <f t="shared" si="31"/>
        <v>6025.5249241365591</v>
      </c>
      <c r="K79" s="22">
        <f t="shared" si="31"/>
        <v>6242.4438214054753</v>
      </c>
      <c r="L79" s="22">
        <f t="shared" si="31"/>
        <v>6467.1717989760728</v>
      </c>
      <c r="M79" s="22">
        <f t="shared" si="31"/>
        <v>6699.9899837392131</v>
      </c>
      <c r="N79" s="22">
        <f t="shared" si="31"/>
        <v>6941.1896231538249</v>
      </c>
      <c r="O79" s="22">
        <f t="shared" si="31"/>
        <v>7191.0724495873619</v>
      </c>
      <c r="P79" s="22">
        <f t="shared" si="31"/>
        <v>7449.9510577725077</v>
      </c>
      <c r="Q79" s="22">
        <f t="shared" si="31"/>
        <v>7718.1492958523186</v>
      </c>
      <c r="R79" s="22">
        <f t="shared" si="31"/>
        <v>7996.0026705030032</v>
      </c>
      <c r="S79" s="22">
        <f t="shared" si="31"/>
        <v>8283.8587666411113</v>
      </c>
      <c r="T79" s="22">
        <f t="shared" ref="T79" si="39">$D79*T44</f>
        <v>8582.0776822401913</v>
      </c>
    </row>
    <row r="80" spans="2:20">
      <c r="B80" s="47" t="str">
        <f t="shared" si="29"/>
        <v>B1 501 a 1.000 kWh + (B2 + B3 ≤ 1.000)</v>
      </c>
      <c r="C80" s="48">
        <v>0.25</v>
      </c>
      <c r="D80" s="49">
        <f t="shared" si="30"/>
        <v>0.75</v>
      </c>
      <c r="F80" s="22">
        <f t="shared" si="31"/>
        <v>4191.0837222897171</v>
      </c>
      <c r="G80" s="22">
        <f t="shared" si="31"/>
        <v>4341.9627362921474</v>
      </c>
      <c r="H80" s="22">
        <f t="shared" si="31"/>
        <v>4498.2733947986644</v>
      </c>
      <c r="I80" s="22">
        <f t="shared" si="31"/>
        <v>4660.2112370114173</v>
      </c>
      <c r="J80" s="22">
        <f t="shared" si="31"/>
        <v>4827.9788415438279</v>
      </c>
      <c r="K80" s="22">
        <f t="shared" si="31"/>
        <v>5001.7860798394058</v>
      </c>
      <c r="L80" s="22">
        <f t="shared" si="31"/>
        <v>5181.8503787136242</v>
      </c>
      <c r="M80" s="22">
        <f t="shared" si="31"/>
        <v>5368.3969923473151</v>
      </c>
      <c r="N80" s="22">
        <f t="shared" si="31"/>
        <v>5561.6592840718185</v>
      </c>
      <c r="O80" s="22">
        <f t="shared" si="31"/>
        <v>5761.8790182984039</v>
      </c>
      <c r="P80" s="22">
        <f t="shared" si="31"/>
        <v>5969.3066629571467</v>
      </c>
      <c r="Q80" s="22">
        <f t="shared" si="31"/>
        <v>6184.2017028236041</v>
      </c>
      <c r="R80" s="22">
        <f t="shared" si="31"/>
        <v>6406.8329641252549</v>
      </c>
      <c r="S80" s="22">
        <f t="shared" si="31"/>
        <v>6637.4789508337635</v>
      </c>
      <c r="T80" s="22">
        <f t="shared" ref="T80" si="40">$D80*T45</f>
        <v>6876.428193063779</v>
      </c>
    </row>
    <row r="81" spans="2:20">
      <c r="B81" s="47" t="str">
        <f t="shared" si="29"/>
        <v>B1 221 a 500 kWh</v>
      </c>
      <c r="C81" s="48">
        <f>2/3</f>
        <v>0.66666666666666663</v>
      </c>
      <c r="D81" s="49">
        <f t="shared" si="30"/>
        <v>0.33333333333333337</v>
      </c>
      <c r="F81" s="22">
        <f t="shared" si="31"/>
        <v>2344.3155252689421</v>
      </c>
      <c r="G81" s="22">
        <f t="shared" si="31"/>
        <v>2428.7108841786244</v>
      </c>
      <c r="H81" s="22">
        <f t="shared" si="31"/>
        <v>2516.1444760090549</v>
      </c>
      <c r="I81" s="22">
        <f t="shared" si="31"/>
        <v>2606.7256771453808</v>
      </c>
      <c r="J81" s="22">
        <f t="shared" si="31"/>
        <v>2700.5678015226144</v>
      </c>
      <c r="K81" s="22">
        <f t="shared" si="31"/>
        <v>2797.7882423774286</v>
      </c>
      <c r="L81" s="22">
        <f t="shared" si="31"/>
        <v>2898.5086191030159</v>
      </c>
      <c r="M81" s="22">
        <f t="shared" si="31"/>
        <v>3002.8549293907245</v>
      </c>
      <c r="N81" s="22">
        <f t="shared" si="31"/>
        <v>3110.9577068487911</v>
      </c>
      <c r="O81" s="22">
        <f t="shared" si="31"/>
        <v>3222.9521842953477</v>
      </c>
      <c r="P81" s="22">
        <f t="shared" si="31"/>
        <v>3338.9784629299802</v>
      </c>
      <c r="Q81" s="22">
        <f t="shared" si="31"/>
        <v>3459.1816875954596</v>
      </c>
      <c r="R81" s="22">
        <f t="shared" si="31"/>
        <v>3583.7122283488961</v>
      </c>
      <c r="S81" s="22">
        <f t="shared" si="31"/>
        <v>3712.7258685694565</v>
      </c>
      <c r="T81" s="22">
        <f t="shared" ref="T81" si="41">$D81*T46</f>
        <v>3846.3839998379572</v>
      </c>
    </row>
    <row r="82" spans="2:20">
      <c r="B82" s="47" t="str">
        <f t="shared" si="29"/>
        <v>B1 ≤ 220 kWh</v>
      </c>
      <c r="C82" s="48">
        <f>2/3</f>
        <v>0.66666666666666663</v>
      </c>
      <c r="D82" s="49">
        <f t="shared" si="30"/>
        <v>0.33333333333333337</v>
      </c>
      <c r="F82" s="22">
        <f t="shared" si="31"/>
        <v>3405.8609239512348</v>
      </c>
      <c r="G82" s="22">
        <f t="shared" si="31"/>
        <v>3528.4719172134796</v>
      </c>
      <c r="H82" s="22">
        <f t="shared" si="31"/>
        <v>3655.4969062331647</v>
      </c>
      <c r="I82" s="22">
        <f t="shared" si="31"/>
        <v>3787.0947948575586</v>
      </c>
      <c r="J82" s="22">
        <f t="shared" si="31"/>
        <v>3923.430207472431</v>
      </c>
      <c r="K82" s="22">
        <f t="shared" si="31"/>
        <v>4064.673694941438</v>
      </c>
      <c r="L82" s="22">
        <f t="shared" si="31"/>
        <v>4211.0019479593302</v>
      </c>
      <c r="M82" s="22">
        <f t="shared" si="31"/>
        <v>4362.598018085866</v>
      </c>
      <c r="N82" s="22">
        <f t="shared" si="31"/>
        <v>4519.6515467369572</v>
      </c>
      <c r="O82" s="22">
        <f t="shared" si="31"/>
        <v>4682.3590024194882</v>
      </c>
      <c r="P82" s="22">
        <f t="shared" si="31"/>
        <v>4850.9239265065899</v>
      </c>
      <c r="Q82" s="22">
        <f t="shared" si="31"/>
        <v>5025.5571878608271</v>
      </c>
      <c r="R82" s="22">
        <f t="shared" si="31"/>
        <v>5206.4772466238173</v>
      </c>
      <c r="S82" s="22">
        <f t="shared" si="31"/>
        <v>5393.9104275022746</v>
      </c>
      <c r="T82" s="22">
        <f t="shared" ref="T82" si="42">$D82*T47</f>
        <v>5588.0912028923567</v>
      </c>
    </row>
    <row r="83" spans="2:20">
      <c r="B83" s="27"/>
    </row>
    <row r="84" spans="2:20">
      <c r="B84" s="9" t="s">
        <v>57</v>
      </c>
      <c r="F84" s="22">
        <f t="shared" ref="F84:T84" si="43">SUM(F71:F78)</f>
        <v>10002.357358604382</v>
      </c>
      <c r="G84" s="22">
        <f t="shared" si="43"/>
        <v>10362.442223514139</v>
      </c>
      <c r="H84" s="22">
        <f t="shared" si="43"/>
        <v>10735.490143560648</v>
      </c>
      <c r="I84" s="22">
        <f t="shared" si="43"/>
        <v>11121.967788728833</v>
      </c>
      <c r="J84" s="22">
        <f t="shared" si="43"/>
        <v>11522.358629123069</v>
      </c>
      <c r="K84" s="22">
        <f t="shared" si="43"/>
        <v>11937.1635397715</v>
      </c>
      <c r="L84" s="22">
        <f t="shared" si="43"/>
        <v>12366.901427203276</v>
      </c>
      <c r="M84" s="22">
        <f t="shared" si="43"/>
        <v>12812.109878582593</v>
      </c>
      <c r="N84" s="22">
        <f t="shared" si="43"/>
        <v>13273.345834211568</v>
      </c>
      <c r="O84" s="22">
        <f t="shared" si="43"/>
        <v>13751.186284243186</v>
      </c>
      <c r="P84" s="22">
        <f t="shared" si="43"/>
        <v>14246.22899047594</v>
      </c>
      <c r="Q84" s="22">
        <f t="shared" si="43"/>
        <v>14759.093234133074</v>
      </c>
      <c r="R84" s="22">
        <f t="shared" si="43"/>
        <v>15290.420590561864</v>
      </c>
      <c r="S84" s="22">
        <f t="shared" si="43"/>
        <v>15840.875731822091</v>
      </c>
      <c r="T84" s="22">
        <f t="shared" si="43"/>
        <v>16411.14725816769</v>
      </c>
    </row>
    <row r="85" spans="2:20">
      <c r="B85" s="9" t="s">
        <v>58</v>
      </c>
      <c r="F85" s="22">
        <f t="shared" ref="F85:T85" si="44">SUM(F79:F82)</f>
        <v>15171.912636367111</v>
      </c>
      <c r="G85" s="22">
        <f t="shared" si="44"/>
        <v>15718.101491276329</v>
      </c>
      <c r="H85" s="22">
        <f t="shared" si="44"/>
        <v>16283.953144962277</v>
      </c>
      <c r="I85" s="22">
        <f t="shared" si="44"/>
        <v>16870.175458180918</v>
      </c>
      <c r="J85" s="22">
        <f t="shared" si="44"/>
        <v>17477.501774675431</v>
      </c>
      <c r="K85" s="22">
        <f t="shared" si="44"/>
        <v>18106.691838563747</v>
      </c>
      <c r="L85" s="22">
        <f t="shared" si="44"/>
        <v>18758.532744752047</v>
      </c>
      <c r="M85" s="22">
        <f t="shared" si="44"/>
        <v>19433.839923563115</v>
      </c>
      <c r="N85" s="22">
        <f t="shared" si="44"/>
        <v>20133.458160811391</v>
      </c>
      <c r="O85" s="22">
        <f t="shared" si="44"/>
        <v>20858.262654600603</v>
      </c>
      <c r="P85" s="22">
        <f t="shared" si="44"/>
        <v>21609.160110166224</v>
      </c>
      <c r="Q85" s="22">
        <f t="shared" si="44"/>
        <v>22387.089874132213</v>
      </c>
      <c r="R85" s="22">
        <f t="shared" si="44"/>
        <v>23193.025109600971</v>
      </c>
      <c r="S85" s="22">
        <f t="shared" si="44"/>
        <v>24027.974013546605</v>
      </c>
      <c r="T85" s="22">
        <f t="shared" si="44"/>
        <v>24892.981078034281</v>
      </c>
    </row>
    <row r="87" spans="2:20">
      <c r="B87" s="9" t="s">
        <v>83</v>
      </c>
      <c r="F87" s="22">
        <f>F52</f>
        <v>6621.8526765600009</v>
      </c>
      <c r="G87" s="22">
        <f t="shared" ref="G87:T87" si="45">G52</f>
        <v>6860.2393729161604</v>
      </c>
      <c r="H87" s="22">
        <f t="shared" si="45"/>
        <v>7107.2079903411422</v>
      </c>
      <c r="I87" s="22">
        <f t="shared" si="45"/>
        <v>7363.0674779934243</v>
      </c>
      <c r="J87" s="22">
        <f t="shared" si="45"/>
        <v>7628.1379072011869</v>
      </c>
      <c r="K87" s="22">
        <f t="shared" si="45"/>
        <v>7902.7508718604304</v>
      </c>
      <c r="L87" s="22">
        <f t="shared" si="45"/>
        <v>8187.2499032474061</v>
      </c>
      <c r="M87" s="22">
        <f t="shared" si="45"/>
        <v>8481.9908997643124</v>
      </c>
      <c r="N87" s="22">
        <f t="shared" si="45"/>
        <v>8787.3425721558287</v>
      </c>
      <c r="O87" s="22">
        <f t="shared" si="45"/>
        <v>9103.6869047534401</v>
      </c>
      <c r="P87" s="22">
        <f t="shared" si="45"/>
        <v>9431.4196333245636</v>
      </c>
      <c r="Q87" s="22">
        <f t="shared" si="45"/>
        <v>9770.9507401242481</v>
      </c>
      <c r="R87" s="22">
        <f t="shared" si="45"/>
        <v>10122.704966768721</v>
      </c>
      <c r="S87" s="22">
        <f t="shared" si="45"/>
        <v>10487.122345572394</v>
      </c>
      <c r="T87" s="22">
        <f t="shared" si="45"/>
        <v>10864.658750013001</v>
      </c>
    </row>
    <row r="88" spans="2:20">
      <c r="B88" s="9" t="s">
        <v>81</v>
      </c>
      <c r="F88" s="22">
        <f>F49+F50-F84-F85</f>
        <v>15167.371488468512</v>
      </c>
      <c r="G88" s="22">
        <f t="shared" ref="G88:T88" si="46">G49+G50-G84-G85</f>
        <v>15713.396862053376</v>
      </c>
      <c r="H88" s="22">
        <f t="shared" si="46"/>
        <v>16279.079149087302</v>
      </c>
      <c r="I88" s="22">
        <f t="shared" si="46"/>
        <v>16865.125998454441</v>
      </c>
      <c r="J88" s="22">
        <f t="shared" si="46"/>
        <v>17472.270534398805</v>
      </c>
      <c r="K88" s="22">
        <f t="shared" si="46"/>
        <v>18101.272273637158</v>
      </c>
      <c r="L88" s="22">
        <f t="shared" si="46"/>
        <v>18752.918075488087</v>
      </c>
      <c r="M88" s="22">
        <f t="shared" si="46"/>
        <v>19428.023126205684</v>
      </c>
      <c r="N88" s="22">
        <f t="shared" si="46"/>
        <v>20127.431958749065</v>
      </c>
      <c r="O88" s="22">
        <f t="shared" si="46"/>
        <v>20852.019509264039</v>
      </c>
      <c r="P88" s="22">
        <f t="shared" si="46"/>
        <v>21602.692211597547</v>
      </c>
      <c r="Q88" s="22">
        <f t="shared" si="46"/>
        <v>22380.389131215055</v>
      </c>
      <c r="R88" s="22">
        <f t="shared" si="46"/>
        <v>23186.083139938801</v>
      </c>
      <c r="S88" s="22">
        <f t="shared" si="46"/>
        <v>24020.782132976608</v>
      </c>
      <c r="T88" s="22">
        <f t="shared" si="46"/>
        <v>24885.530289763759</v>
      </c>
    </row>
    <row r="90" spans="2:20">
      <c r="F90" s="26"/>
    </row>
    <row r="91" spans="2:20">
      <c r="F91" s="26"/>
    </row>
    <row r="92" spans="2:20">
      <c r="B92" s="61" t="s">
        <v>102</v>
      </c>
      <c r="C92" s="62" t="s">
        <v>103</v>
      </c>
      <c r="D92" s="62" t="s">
        <v>104</v>
      </c>
    </row>
    <row r="93" spans="2:20">
      <c r="B93" s="57" t="s">
        <v>93</v>
      </c>
      <c r="C93" s="55">
        <f>C96-C95-C94</f>
        <v>42207.815511531495</v>
      </c>
      <c r="D93" s="56">
        <f>C93/$C$96</f>
        <v>0.63191974475665857</v>
      </c>
    </row>
    <row r="94" spans="2:20">
      <c r="B94" s="57" t="s">
        <v>94</v>
      </c>
      <c r="C94" s="55">
        <f>F88</f>
        <v>15167.371488468512</v>
      </c>
      <c r="D94" s="56">
        <f>C94/$C$96</f>
        <v>0.22708025524334155</v>
      </c>
    </row>
    <row r="95" spans="2:20">
      <c r="B95" s="57" t="s">
        <v>95</v>
      </c>
      <c r="C95" s="55">
        <f>C96*C52</f>
        <v>9417.8129999999983</v>
      </c>
      <c r="D95" s="56">
        <f>C95/$C$96</f>
        <v>0.14099999999999999</v>
      </c>
    </row>
    <row r="96" spans="2:20">
      <c r="B96" s="58" t="s">
        <v>53</v>
      </c>
      <c r="C96" s="59">
        <f>E55</f>
        <v>66793</v>
      </c>
      <c r="D96" s="60">
        <f>C96/$C$96</f>
        <v>1</v>
      </c>
    </row>
  </sheetData>
  <mergeCells count="5">
    <mergeCell ref="C1:AM1"/>
    <mergeCell ref="A36:A43"/>
    <mergeCell ref="A44:A47"/>
    <mergeCell ref="F70:T70"/>
    <mergeCell ref="E35:S3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4"/>
  <sheetViews>
    <sheetView workbookViewId="0">
      <selection activeCell="D13" sqref="B2:D14"/>
    </sheetView>
  </sheetViews>
  <sheetFormatPr defaultRowHeight="15"/>
  <cols>
    <col min="2" max="2" width="12.42578125" customWidth="1"/>
    <col min="3" max="3" width="48.85546875" bestFit="1" customWidth="1"/>
    <col min="4" max="4" width="16.42578125" customWidth="1"/>
  </cols>
  <sheetData>
    <row r="2" spans="2:4" ht="42">
      <c r="B2" s="42" t="s">
        <v>92</v>
      </c>
      <c r="C2" s="42" t="s">
        <v>91</v>
      </c>
      <c r="D2" s="43" t="s">
        <v>81</v>
      </c>
    </row>
    <row r="3" spans="2:4" ht="18">
      <c r="B3" s="72" t="s">
        <v>55</v>
      </c>
      <c r="C3" s="38" t="s">
        <v>65</v>
      </c>
      <c r="D3" s="74">
        <v>0.05</v>
      </c>
    </row>
    <row r="4" spans="2:4" ht="18">
      <c r="B4" s="72"/>
      <c r="C4" s="39" t="s">
        <v>66</v>
      </c>
      <c r="D4" s="74"/>
    </row>
    <row r="5" spans="2:4" ht="18">
      <c r="B5" s="72"/>
      <c r="C5" s="39" t="s">
        <v>67</v>
      </c>
      <c r="D5" s="74"/>
    </row>
    <row r="6" spans="2:4" ht="18">
      <c r="B6" s="72"/>
      <c r="C6" s="39" t="s">
        <v>68</v>
      </c>
      <c r="D6" s="74"/>
    </row>
    <row r="7" spans="2:4" ht="18">
      <c r="B7" s="72"/>
      <c r="C7" s="39" t="s">
        <v>69</v>
      </c>
      <c r="D7" s="74"/>
    </row>
    <row r="8" spans="2:4" ht="18">
      <c r="B8" s="72"/>
      <c r="C8" s="39" t="s">
        <v>70</v>
      </c>
      <c r="D8" s="74"/>
    </row>
    <row r="9" spans="2:4" ht="18">
      <c r="B9" s="72"/>
      <c r="C9" s="39" t="s">
        <v>71</v>
      </c>
      <c r="D9" s="74"/>
    </row>
    <row r="10" spans="2:4" ht="18">
      <c r="B10" s="72"/>
      <c r="C10" s="40" t="s">
        <v>72</v>
      </c>
      <c r="D10" s="74"/>
    </row>
    <row r="11" spans="2:4" ht="18">
      <c r="B11" s="73" t="s">
        <v>56</v>
      </c>
      <c r="C11" s="41" t="s">
        <v>73</v>
      </c>
      <c r="D11" s="74">
        <v>0.25</v>
      </c>
    </row>
    <row r="12" spans="2:4" ht="18">
      <c r="B12" s="73"/>
      <c r="C12" s="41" t="s">
        <v>87</v>
      </c>
      <c r="D12" s="74"/>
    </row>
    <row r="13" spans="2:4" ht="18">
      <c r="B13" s="73"/>
      <c r="C13" s="41" t="s">
        <v>88</v>
      </c>
      <c r="D13" s="74">
        <v>0.67</v>
      </c>
    </row>
    <row r="14" spans="2:4" ht="18">
      <c r="B14" s="73"/>
      <c r="C14" s="41" t="s">
        <v>89</v>
      </c>
      <c r="D14" s="74"/>
    </row>
  </sheetData>
  <mergeCells count="5">
    <mergeCell ref="B3:B10"/>
    <mergeCell ref="B11:B14"/>
    <mergeCell ref="D3:D10"/>
    <mergeCell ref="D11:D12"/>
    <mergeCell ref="D13:D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5</vt:i4>
      </vt:variant>
    </vt:vector>
  </HeadingPairs>
  <TitlesOfParts>
    <vt:vector size="7" baseType="lpstr">
      <vt:lpstr>DADOS</vt:lpstr>
      <vt:lpstr>FAIXAS</vt:lpstr>
      <vt:lpstr>GRAF CONTRATOS LEGADOS</vt:lpstr>
      <vt:lpstr>GRAF CONSUMO ACR + PERDAS</vt:lpstr>
      <vt:lpstr>GRAF ACR x LEGADOS </vt:lpstr>
      <vt:lpstr>GRAF CONSUMO ACR</vt:lpstr>
      <vt:lpstr>GRAF CMPOSIÇÃO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dcterms:created xsi:type="dcterms:W3CDTF">2021-03-09T18:43:29Z</dcterms:created>
  <dcterms:modified xsi:type="dcterms:W3CDTF">2021-05-11T18:13:44Z</dcterms:modified>
</cp:coreProperties>
</file>